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65" yWindow="330" windowWidth="12315" windowHeight="9915" activeTab="0"/>
  </bookViews>
  <sheets>
    <sheet name="Input" sheetId="1" r:id="rId1"/>
    <sheet name="Loads" sheetId="2" r:id="rId2"/>
    <sheet name="BS1" sheetId="3" r:id="rId3"/>
    <sheet name="BS2" sheetId="4" r:id="rId4"/>
    <sheet name="CORC" sheetId="5" r:id="rId5"/>
    <sheet name="CORC2" sheetId="6" r:id="rId6"/>
    <sheet name="CornerCF" sheetId="7" r:id="rId7"/>
    <sheet name="RadFloor" sheetId="8" r:id="rId8"/>
  </sheets>
  <definedNames>
    <definedName name="a1_">'CORC'!$A$1</definedName>
    <definedName name="a2_">'CORC'!$A$20</definedName>
    <definedName name="a3_">'CORC'!$A$28</definedName>
    <definedName name="a4_">'CORC'!$A$36</definedName>
    <definedName name="b1_">'CORC'!$A$2</definedName>
    <definedName name="b2_">'CORC'!$A$21</definedName>
    <definedName name="b3_">'CORC'!$A$29</definedName>
    <definedName name="b4_">'CORC'!$A$37</definedName>
    <definedName name="cc1_">'CORC'!$A$3</definedName>
    <definedName name="cc2_">'CORC'!$A$22</definedName>
    <definedName name="cc3_">'CORC'!$A$30</definedName>
    <definedName name="cc4_">'CORC'!$A$38</definedName>
    <definedName name="CCF">'CORC'!$A$39</definedName>
    <definedName name="d1_">'CORC'!$A$4</definedName>
    <definedName name="d2_">'CORC'!$A$23</definedName>
    <definedName name="dept" localSheetId="3">'BS2'!$B$34</definedName>
    <definedName name="dept">'BS1'!$B$34</definedName>
    <definedName name="depth">'Input'!$B$12</definedName>
    <definedName name="e1_">'CORC'!$A$5</definedName>
    <definedName name="e2_">'CORC'!$A$24</definedName>
    <definedName name="e3_">'CORC'!$A$31</definedName>
    <definedName name="f1_">'CORC'!$A$6</definedName>
    <definedName name="f2_">'CORC'!$A$25</definedName>
    <definedName name="f3_">'CORC'!$A$32</definedName>
    <definedName name="g1_">'CORC'!$A$7</definedName>
    <definedName name="g2_">'CORC'!$A$26</definedName>
    <definedName name="g3_">'CORC'!$A$33</definedName>
    <definedName name="h1_">'CORC'!$A$8</definedName>
    <definedName name="h2_">'CORC'!$A$27</definedName>
    <definedName name="h3_">'CORC'!$A$34</definedName>
    <definedName name="height">'Input'!$B$11</definedName>
    <definedName name="i1_">'CORC'!$A$9</definedName>
    <definedName name="i3_">'CORC'!$A$35</definedName>
    <definedName name="Inflag">'Input'!$B$29</definedName>
    <definedName name="iuse" localSheetId="3">'BS2'!$B$40</definedName>
    <definedName name="iuse">'BS1'!$B$40</definedName>
    <definedName name="iusev" localSheetId="3">'BS2'!$B$55</definedName>
    <definedName name="iusev">'BS1'!$B$55</definedName>
    <definedName name="j1_">'CORC'!$A$10</definedName>
    <definedName name="length">'Input'!$E$7</definedName>
    <definedName name="overlp">'Input'!$B$27</definedName>
    <definedName name="q2_">'CORC'!$A$11</definedName>
    <definedName name="rr2">'CORC'!$A$12</definedName>
    <definedName name="rs" localSheetId="3">'BS2'!$B$39</definedName>
    <definedName name="rs">'BS1'!$B$39</definedName>
    <definedName name="rsi1">'Loads'!$B$13</definedName>
    <definedName name="rsi1c" localSheetId="3">'BS2'!$B$18</definedName>
    <definedName name="rsi1c">'BS1'!$B$18</definedName>
    <definedName name="rsi2">'Loads'!$B$15</definedName>
    <definedName name="rss" localSheetId="3">'BS2'!$B$35</definedName>
    <definedName name="rss">'BS1'!$B$35</definedName>
    <definedName name="s2_">'CORC'!$A$17</definedName>
    <definedName name="soilk">'Input'!$B$14</definedName>
    <definedName name="T_a1">'CORC2'!$A$1</definedName>
    <definedName name="T_a2">'CORC2'!$A$20</definedName>
    <definedName name="T_a3">'CORC2'!$A$28</definedName>
    <definedName name="T_a4">'CORC2'!$A$36</definedName>
    <definedName name="T_b1">'CORC2'!$A$2</definedName>
    <definedName name="T_b2">'CORC2'!$A$21</definedName>
    <definedName name="T_b3">'CORC2'!$A$29</definedName>
    <definedName name="T_b4">'CORC2'!$A$37</definedName>
    <definedName name="T_cc1">'CORC2'!$A$3</definedName>
    <definedName name="T_cc2">'CORC2'!$A$22</definedName>
    <definedName name="T_cc3">'CORC2'!$A$30</definedName>
    <definedName name="T_cc4">'CORC2'!$A$38</definedName>
    <definedName name="T_CCF">'CORC2'!$A$39</definedName>
    <definedName name="T_d1">'CORC2'!$A$4</definedName>
    <definedName name="T_d2">'CORC2'!$A$23</definedName>
    <definedName name="T_e1">'CORC2'!$A$5</definedName>
    <definedName name="T_e2">'CORC2'!$A$24</definedName>
    <definedName name="T_e3">'CORC2'!$A$31</definedName>
    <definedName name="T_f1">'CORC2'!$A$6</definedName>
    <definedName name="T_f2">'CORC2'!$A$25</definedName>
    <definedName name="T_f3">'CORC2'!$A$32</definedName>
    <definedName name="T_g1">'CORC2'!$A$7</definedName>
    <definedName name="T_g2">'CORC2'!$A$26</definedName>
    <definedName name="T_g3">'CORC2'!$A$33</definedName>
    <definedName name="T_h1">'CORC2'!$A$8</definedName>
    <definedName name="T_h2">'CORC2'!$A$27</definedName>
    <definedName name="T_h3">'CORC2'!$A$34</definedName>
    <definedName name="T_i1">'CORC2'!$A$9</definedName>
    <definedName name="T_i3">'CORC2'!$A$35</definedName>
    <definedName name="T_j1">'CORC2'!$A$10</definedName>
    <definedName name="T_q2">'CORC2'!$A$11</definedName>
    <definedName name="T_rr2">'CORC2'!$A$12</definedName>
    <definedName name="T_s2">'CORC2'!$A$17</definedName>
    <definedName name="T_t2">'CORC2'!$A$18</definedName>
    <definedName name="T_u2">'CORC2'!$A$13</definedName>
    <definedName name="T_v2">'CORC2'!$A$14</definedName>
    <definedName name="T_w2">'CORC2'!$A$15</definedName>
    <definedName name="T_x2">'CORC2'!$A$16</definedName>
    <definedName name="T_y2">'CORC2'!$A$19</definedName>
    <definedName name="t2_">'CORC'!$A$18</definedName>
    <definedName name="T2a1">'CORC2'!$A$1</definedName>
    <definedName name="T2a2">'CORC2'!$A$20</definedName>
    <definedName name="T2a3">'CORC2'!$A$28</definedName>
    <definedName name="T2a4">'CORC2'!$A$36</definedName>
    <definedName name="T2b1">'CORC2'!$A$2</definedName>
    <definedName name="T2b2">'CORC2'!$A$21</definedName>
    <definedName name="T2b3">'CORC2'!$A$29</definedName>
    <definedName name="T2b4">'CORC2'!$A$37</definedName>
    <definedName name="T2cc1">'CORC2'!$A$3</definedName>
    <definedName name="T2cc2">'CORC2'!$A$22</definedName>
    <definedName name="T2cc3">'CORC2'!$A$30</definedName>
    <definedName name="T2cc4">'CORC2'!$A$38</definedName>
    <definedName name="T2CCF">'CORC2'!$A$39</definedName>
    <definedName name="T2d1">'CORC2'!$A$4</definedName>
    <definedName name="T2d2">'CORC2'!$A$23</definedName>
    <definedName name="T2e1">'CORC2'!$A$5</definedName>
    <definedName name="T2e2">'CORC2'!$A$24</definedName>
    <definedName name="T2e3">'CORC2'!$A$31</definedName>
    <definedName name="T2f1">'CORC2'!$A$6</definedName>
    <definedName name="T2f2">'CORC2'!$A$25</definedName>
    <definedName name="T2f3">'CORC2'!$A$32</definedName>
    <definedName name="T2g1">'CORC2'!$A$7</definedName>
    <definedName name="T2g2">'CORC2'!$A$26</definedName>
    <definedName name="T2g3">'CORC2'!$A$33</definedName>
    <definedName name="T2h1">'CORC2'!$A$8</definedName>
    <definedName name="T2h2">'CORC2'!$A$27</definedName>
    <definedName name="T2h3">'CORC2'!$A$34</definedName>
    <definedName name="T2i1">'CORC2'!$A$9</definedName>
    <definedName name="T2i3">'CORC2'!$A$35</definedName>
    <definedName name="T2j1">'CORC2'!$A$10</definedName>
    <definedName name="T2q2">'CORC2'!$A$11</definedName>
    <definedName name="T2rr2">'CORC2'!$A$12</definedName>
    <definedName name="T2s2">'CORC2'!$A$17</definedName>
    <definedName name="T2t2">'CORC2'!$A$18</definedName>
    <definedName name="T2u2">'CORC2'!$A$13</definedName>
    <definedName name="T2v2">'CORC2'!$A$14</definedName>
    <definedName name="T2w2">'CORC2'!$A$15</definedName>
    <definedName name="T2x2">'CORC2'!$A$16</definedName>
    <definedName name="T2y2">'CORC2'!$A$19</definedName>
    <definedName name="u2_">'CORC'!$A$13</definedName>
    <definedName name="v2_">'CORC'!$A$14</definedName>
    <definedName name="W1_">'Input'!$E$7</definedName>
    <definedName name="W2_" localSheetId="0">'Input'!$E$8</definedName>
    <definedName name="w2_">'CORC'!$A$15</definedName>
    <definedName name="wby2" localSheetId="3">'BS2'!$B$37</definedName>
    <definedName name="wby2">'BS1'!$B$37</definedName>
    <definedName name="widt" localSheetId="3">'BS2'!$B$36</definedName>
    <definedName name="widt">'BS1'!$B$36</definedName>
    <definedName name="width">'Input'!$E$8</definedName>
    <definedName name="wtable">'Input'!$B$15</definedName>
    <definedName name="x2_">'CORC'!$A$16</definedName>
    <definedName name="y2_">'CORC'!$A$19</definedName>
  </definedNames>
  <calcPr fullCalcOnLoad="1"/>
</workbook>
</file>

<file path=xl/comments1.xml><?xml version="1.0" encoding="utf-8"?>
<comments xmlns="http://schemas.openxmlformats.org/spreadsheetml/2006/main">
  <authors>
    <author>Brian Bradley</author>
  </authors>
  <commentList>
    <comment ref="B14" authorId="0">
      <text>
        <r>
          <rPr>
            <b/>
            <sz val="8"/>
            <rFont val="Tahoma"/>
            <family val="2"/>
          </rPr>
          <t xml:space="preserve">
The following are standard values available for selection in HOT2000 in W/mK.
Normal conductivity: dry sand, loam, clay = 0.85
High conductivity: moist soil                         = 1.275
Very wet soils or perma-frost                      = 1.90
</t>
        </r>
        <r>
          <rPr>
            <sz val="8"/>
            <rFont val="Tahoma"/>
            <family val="2"/>
          </rPr>
          <t xml:space="preserve">
</t>
        </r>
      </text>
    </comment>
    <comment ref="B15" authorId="0">
      <text>
        <r>
          <rPr>
            <b/>
            <sz val="8"/>
            <rFont val="Tahoma"/>
            <family val="2"/>
          </rPr>
          <t xml:space="preserve">
The following are standard values available for selection in HOT2000 (in meters).
Shallow (5-7  m, 16-23 Ft)  = 5.0
Normal  (7-10 m, 23-33 Ft) = 8.0
Deep    (&gt; 10 m,  &gt; 33 Ft)   = 12.0
</t>
        </r>
        <r>
          <rPr>
            <sz val="8"/>
            <rFont val="Tahoma"/>
            <family val="2"/>
          </rPr>
          <t xml:space="preserve">
</t>
        </r>
      </text>
    </comment>
    <comment ref="B29" authorId="0">
      <text>
        <r>
          <rPr>
            <b/>
            <sz val="8"/>
            <rFont val="Tahoma"/>
            <family val="2"/>
          </rPr>
          <t xml:space="preserve">Insulation Flag:
1  = No insulation
2  = Interior or Exterior wall only
3 =  Interior or Exterior wall and Slab
4 =  Interior and Exterior wall only
5 =  Interior and Exterior wall and Slab
</t>
        </r>
      </text>
    </comment>
    <comment ref="B52" authorId="0">
      <text>
        <r>
          <rPr>
            <b/>
            <sz val="8"/>
            <rFont val="Tahoma"/>
            <family val="2"/>
          </rPr>
          <t xml:space="preserve">
Moore model:  Ground temperature amplitude (Deg c)</t>
        </r>
        <r>
          <rPr>
            <sz val="8"/>
            <rFont val="Tahoma"/>
            <family val="2"/>
          </rPr>
          <t xml:space="preserve">
</t>
        </r>
      </text>
    </comment>
    <comment ref="B53" authorId="0">
      <text>
        <r>
          <rPr>
            <b/>
            <sz val="8"/>
            <rFont val="Tahoma"/>
            <family val="2"/>
          </rPr>
          <t xml:space="preserve">
Moore model: temperature phase shift at the soil surface.</t>
        </r>
        <r>
          <rPr>
            <sz val="8"/>
            <rFont val="Tahoma"/>
            <family val="2"/>
          </rPr>
          <t xml:space="preserve">
</t>
        </r>
      </text>
    </comment>
    <comment ref="A22" authorId="0">
      <text>
        <r>
          <rPr>
            <b/>
            <sz val="8"/>
            <rFont val="Tahoma"/>
            <family val="2"/>
          </rPr>
          <t xml:space="preserve">
Config is one of (11, 12, 116, 117)</t>
        </r>
        <r>
          <rPr>
            <sz val="8"/>
            <rFont val="Tahoma"/>
            <family val="2"/>
          </rPr>
          <t xml:space="preserve">
</t>
        </r>
      </text>
    </comment>
    <comment ref="A23" authorId="0">
      <text>
        <r>
          <rPr>
            <b/>
            <sz val="8"/>
            <rFont val="Tahoma"/>
            <family val="2"/>
          </rPr>
          <t xml:space="preserve">
Config is one of (93, 95, 114, 115)</t>
        </r>
        <r>
          <rPr>
            <sz val="8"/>
            <rFont val="Tahoma"/>
            <family val="2"/>
          </rPr>
          <t xml:space="preserve">
</t>
        </r>
      </text>
    </comment>
    <comment ref="A24" authorId="0">
      <text>
        <r>
          <rPr>
            <b/>
            <sz val="8"/>
            <rFont val="Tahoma"/>
            <family val="2"/>
          </rPr>
          <t xml:space="preserve">
Config is one of (94, 96)</t>
        </r>
        <r>
          <rPr>
            <sz val="8"/>
            <rFont val="Tahoma"/>
            <family val="2"/>
          </rPr>
          <t xml:space="preserve">
</t>
        </r>
      </text>
    </comment>
    <comment ref="A25" authorId="0">
      <text>
        <r>
          <rPr>
            <b/>
            <sz val="8"/>
            <rFont val="Tahoma"/>
            <family val="2"/>
          </rPr>
          <t xml:space="preserve">
Config is one of (68,69, 92)</t>
        </r>
        <r>
          <rPr>
            <sz val="8"/>
            <rFont val="Tahoma"/>
            <family val="2"/>
          </rPr>
          <t xml:space="preserve">
</t>
        </r>
      </text>
    </comment>
    <comment ref="A26" authorId="0">
      <text>
        <r>
          <rPr>
            <sz val="8"/>
            <rFont val="Tahoma"/>
            <family val="2"/>
          </rPr>
          <t xml:space="preserve">
If none of the above are true, a Zero value will be used for the overlap.
</t>
        </r>
      </text>
    </comment>
    <comment ref="A29" authorId="0">
      <text>
        <r>
          <rPr>
            <b/>
            <sz val="8"/>
            <rFont val="Tahoma"/>
            <family val="2"/>
          </rPr>
          <t xml:space="preserve">
Note: This value is determined in sheet "CORC".</t>
        </r>
        <r>
          <rPr>
            <sz val="8"/>
            <rFont val="Tahoma"/>
            <family val="2"/>
          </rPr>
          <t xml:space="preserve">
</t>
        </r>
      </text>
    </comment>
    <comment ref="G10" authorId="0">
      <text>
        <r>
          <rPr>
            <b/>
            <sz val="8"/>
            <rFont val="Tahoma"/>
            <family val="2"/>
          </rPr>
          <t xml:space="preserve">
Calculated area of foundation wall above grade (m2).</t>
        </r>
        <r>
          <rPr>
            <sz val="8"/>
            <rFont val="Tahoma"/>
            <family val="2"/>
          </rPr>
          <t xml:space="preserve">
</t>
        </r>
      </text>
    </comment>
    <comment ref="H10" authorId="0">
      <text>
        <r>
          <rPr>
            <b/>
            <sz val="8"/>
            <rFont val="Tahoma"/>
            <family val="2"/>
          </rPr>
          <t xml:space="preserve">
Input the Total area of windows in the above grade foundation wall.</t>
        </r>
        <r>
          <rPr>
            <sz val="8"/>
            <rFont val="Tahoma"/>
            <family val="2"/>
          </rPr>
          <t xml:space="preserve">
</t>
        </r>
      </text>
    </comment>
    <comment ref="I10" authorId="0">
      <text>
        <r>
          <rPr>
            <b/>
            <sz val="8"/>
            <rFont val="Tahoma"/>
            <family val="2"/>
          </rPr>
          <t xml:space="preserve">
Input the Total area of doors in the above grade foundation wall.
</t>
        </r>
      </text>
    </comment>
    <comment ref="K10" authorId="0">
      <text>
        <r>
          <rPr>
            <b/>
            <sz val="8"/>
            <rFont val="Tahoma"/>
            <family val="2"/>
          </rPr>
          <t xml:space="preserve">
Fraction of above grade foundation area not including windows and doors.</t>
        </r>
        <r>
          <rPr>
            <sz val="8"/>
            <rFont val="Tahoma"/>
            <family val="2"/>
          </rPr>
          <t xml:space="preserve">
</t>
        </r>
      </text>
    </comment>
    <comment ref="B58" authorId="0">
      <text>
        <r>
          <rPr>
            <b/>
            <sz val="8"/>
            <rFont val="Tahoma"/>
            <family val="2"/>
          </rPr>
          <t>Enter zero of no in-floor hydronic heating. 
If there is, enter the "effective" temperature of the working fluid during steady state operation,
Tslab=Tbasement+(AreaFraction)*(Tfluid-Tbasement) 
where AreaFraction is the fraction of floor area having pipes.</t>
        </r>
        <r>
          <rPr>
            <sz val="8"/>
            <rFont val="Tahoma"/>
            <family val="2"/>
          </rPr>
          <t xml:space="preserve">
</t>
        </r>
      </text>
    </comment>
    <comment ref="A7" authorId="0">
      <text>
        <r>
          <rPr>
            <b/>
            <sz val="8"/>
            <rFont val="Tahoma"/>
            <family val="2"/>
          </rPr>
          <t xml:space="preserve">
Use Outside dimensions</t>
        </r>
        <r>
          <rPr>
            <sz val="8"/>
            <rFont val="Tahoma"/>
            <family val="2"/>
          </rPr>
          <t xml:space="preserve">
</t>
        </r>
      </text>
    </comment>
    <comment ref="A8" authorId="0">
      <text>
        <r>
          <rPr>
            <b/>
            <sz val="8"/>
            <rFont val="Tahoma"/>
            <family val="2"/>
          </rPr>
          <t xml:space="preserve">
Use Outside dimensions
</t>
        </r>
      </text>
    </comment>
    <comment ref="G7" authorId="0">
      <text>
        <r>
          <rPr>
            <b/>
            <sz val="8"/>
            <rFont val="Tahoma"/>
            <family val="2"/>
          </rPr>
          <t xml:space="preserve">
The exposed perimeter is distance around the foundation that is exposed to the "elements", I.E. the air and soil.
Enter zero if the foundation is not attached to another foundation.
For example, if a foundation has dimensions L and W, and the foundation is attached along the "W" side, enter a value of 2L+W for the exposed perimeter.</t>
        </r>
        <r>
          <rPr>
            <sz val="8"/>
            <rFont val="Tahoma"/>
            <family val="2"/>
          </rPr>
          <t xml:space="preserve">
</t>
        </r>
      </text>
    </comment>
  </commentList>
</comments>
</file>

<file path=xl/comments2.xml><?xml version="1.0" encoding="utf-8"?>
<comments xmlns="http://schemas.openxmlformats.org/spreadsheetml/2006/main">
  <authors>
    <author>Bradley</author>
  </authors>
  <commentList>
    <comment ref="B15" authorId="0">
      <text>
        <r>
          <rPr>
            <b/>
            <sz val="8"/>
            <rFont val="Tahoma"/>
            <family val="2"/>
          </rPr>
          <t>If rsi1 above is greater than RSI 1.5, no interpolation is required. 
When it is less than RSI 1.5, but greater than 0.01, interpolation is required. 
In that case, the results from sheets BS1 (BASESIMP 1) and BS2 are used for the interpolation.</t>
        </r>
        <r>
          <rPr>
            <sz val="8"/>
            <rFont val="Tahoma"/>
            <family val="2"/>
          </rPr>
          <t xml:space="preserve">
</t>
        </r>
      </text>
    </comment>
  </commentList>
</comments>
</file>

<file path=xl/comments3.xml><?xml version="1.0" encoding="utf-8"?>
<comments xmlns="http://schemas.openxmlformats.org/spreadsheetml/2006/main">
  <authors>
    <author>Bradley</author>
  </authors>
  <commentList>
    <comment ref="A17" authorId="0">
      <text>
        <r>
          <rPr>
            <b/>
            <sz val="8"/>
            <rFont val="Tahoma"/>
            <family val="2"/>
          </rPr>
          <t xml:space="preserve">
c
C Set Icol if the BASESIMP system is BCCN_1 or BCCN_2.  These two systems
C do not have fixed Icol as they do not correspond to any of the eight
C modelled for the corner-correction method.  Icol is 4 if there is less
C than 0.6m of overlap; ip is 5 if there is greater than 0.6m of overlap
C and the exterior coverage is greater than the interior coverage; and
C ip is 3 if the interior coverage is greater than the exterior coverage.
C
      If ( Icol .eq. 99 ) Then
         wilen = ( Height - Depth ) + Overlap
         welen = 0.1 + Depth
         If ( ( Overlap / 0.6 ) .gt. 0.9999 ) Then
            If ( ( welen / wilen ) .gt. 1.0 ) Then
               Icol = 5
            Else
               Icol = 3
            Endif
         Else
            Icol = 4
         Endif
      Endif
</t>
        </r>
        <r>
          <rPr>
            <sz val="8"/>
            <rFont val="Tahoma"/>
            <family val="2"/>
          </rPr>
          <t xml:space="preserve">
</t>
        </r>
      </text>
    </comment>
  </commentList>
</comments>
</file>

<file path=xl/comments5.xml><?xml version="1.0" encoding="utf-8"?>
<comments xmlns="http://schemas.openxmlformats.org/spreadsheetml/2006/main">
  <authors>
    <author>Brian Bradley</author>
  </authors>
  <commentList>
    <comment ref="B60" authorId="0">
      <text>
        <r>
          <rPr>
            <b/>
            <sz val="8"/>
            <rFont val="Tahoma"/>
            <family val="2"/>
          </rPr>
          <t xml:space="preserve">
1  = No insulation
2  = Interior or Exterior wall only
3 =  Interior or Exterior wall and Slab
4 =  Interior and Exterior wall only
5 =  Interior and Exterior wall and Slab
</t>
        </r>
        <r>
          <rPr>
            <sz val="8"/>
            <rFont val="Tahoma"/>
            <family val="2"/>
          </rPr>
          <t xml:space="preserve">
</t>
        </r>
      </text>
    </comment>
  </commentList>
</comments>
</file>

<file path=xl/sharedStrings.xml><?xml version="1.0" encoding="utf-8"?>
<sst xmlns="http://schemas.openxmlformats.org/spreadsheetml/2006/main" count="372" uniqueCount="269">
  <si>
    <t>HOT2000 Foundation heat loss model - Basement example</t>
  </si>
  <si>
    <t>Floor Dimensions</t>
  </si>
  <si>
    <t>Length</t>
  </si>
  <si>
    <t>Width</t>
  </si>
  <si>
    <t>Wall Dimensions</t>
  </si>
  <si>
    <t>Total Height</t>
  </si>
  <si>
    <t>Depth B.G.</t>
  </si>
  <si>
    <t>m</t>
  </si>
  <si>
    <t>Soil conductivity</t>
  </si>
  <si>
    <t>Water Table level</t>
  </si>
  <si>
    <t>W/mK</t>
  </si>
  <si>
    <t>Interior added insulation</t>
  </si>
  <si>
    <t>Exterior added insulation</t>
  </si>
  <si>
    <t>RSI</t>
  </si>
  <si>
    <t>Insulation added to slab</t>
  </si>
  <si>
    <t>From</t>
  </si>
  <si>
    <t>BASESIMP: A Simplified Foundation Energy-Loss Model Derived from BASECALC™ Simulations</t>
  </si>
  <si>
    <t>Ian Beausoleil-Morrison, July 27, 1999</t>
  </si>
  <si>
    <t>a1</t>
  </si>
  <si>
    <t>b1</t>
  </si>
  <si>
    <t>d1</t>
  </si>
  <si>
    <t>e1</t>
  </si>
  <si>
    <t>f1</t>
  </si>
  <si>
    <t>g1</t>
  </si>
  <si>
    <t>h1</t>
  </si>
  <si>
    <t>i1</t>
  </si>
  <si>
    <t>j1</t>
  </si>
  <si>
    <t>q2</t>
  </si>
  <si>
    <t>u2</t>
  </si>
  <si>
    <t>v2</t>
  </si>
  <si>
    <t>w2</t>
  </si>
  <si>
    <t>x2</t>
  </si>
  <si>
    <t>s2</t>
  </si>
  <si>
    <t>t2</t>
  </si>
  <si>
    <t>y2</t>
  </si>
  <si>
    <t>a2</t>
  </si>
  <si>
    <t>b2</t>
  </si>
  <si>
    <t>d2</t>
  </si>
  <si>
    <t>e2</t>
  </si>
  <si>
    <t>f2</t>
  </si>
  <si>
    <t>g2</t>
  </si>
  <si>
    <t>h2</t>
  </si>
  <si>
    <t>a3</t>
  </si>
  <si>
    <t>b3</t>
  </si>
  <si>
    <t>e3</t>
  </si>
  <si>
    <t>f3</t>
  </si>
  <si>
    <t>g3</t>
  </si>
  <si>
    <t>h3</t>
  </si>
  <si>
    <t>i3</t>
  </si>
  <si>
    <t>a4</t>
  </si>
  <si>
    <t>b4</t>
  </si>
  <si>
    <t>CCF</t>
  </si>
  <si>
    <t>Overlap</t>
  </si>
  <si>
    <t>Foundation corner correction factors</t>
  </si>
  <si>
    <t>icol</t>
  </si>
  <si>
    <t>Wilen</t>
  </si>
  <si>
    <t>Welen</t>
  </si>
  <si>
    <t>Overlp/.6</t>
  </si>
  <si>
    <t>icol1</t>
  </si>
  <si>
    <t>icol2</t>
  </si>
  <si>
    <t>Calculate Summo</t>
  </si>
  <si>
    <t>rpart1</t>
  </si>
  <si>
    <t>rpart2</t>
  </si>
  <si>
    <t>rpart3</t>
  </si>
  <si>
    <t>Inflag</t>
  </si>
  <si>
    <t>Calculating a "representative" value for overall insulation value</t>
  </si>
  <si>
    <t>rsi1</t>
  </si>
  <si>
    <t>Based on Section 8. Fortran Source code for BASESIMP algorithm, Page 140-</t>
  </si>
  <si>
    <t>cc1</t>
  </si>
  <si>
    <t>cc2</t>
  </si>
  <si>
    <t>cc3</t>
  </si>
  <si>
    <t>cc4</t>
  </si>
  <si>
    <t>rr2</t>
  </si>
  <si>
    <t>height</t>
  </si>
  <si>
    <t>depth</t>
  </si>
  <si>
    <t>soilk</t>
  </si>
  <si>
    <t>overlp</t>
  </si>
  <si>
    <t>sumuo</t>
  </si>
  <si>
    <t>Sag</t>
  </si>
  <si>
    <t>length</t>
  </si>
  <si>
    <t>width</t>
  </si>
  <si>
    <t>Configuration #</t>
  </si>
  <si>
    <t>Calculate sumur</t>
  </si>
  <si>
    <t>wtable</t>
  </si>
  <si>
    <t>rpart4</t>
  </si>
  <si>
    <t>sumur</t>
  </si>
  <si>
    <t>Calculate steady corner factor</t>
  </si>
  <si>
    <t>Use value calculated above for BCCN_1 or BCCN_2</t>
  </si>
  <si>
    <t>dept</t>
  </si>
  <si>
    <t>rs</t>
  </si>
  <si>
    <t>widt</t>
  </si>
  <si>
    <t>wby2</t>
  </si>
  <si>
    <t>iuse</t>
  </si>
  <si>
    <t>rss</t>
  </si>
  <si>
    <t>r1</t>
  </si>
  <si>
    <t>r2</t>
  </si>
  <si>
    <t>r3</t>
  </si>
  <si>
    <t>r4</t>
  </si>
  <si>
    <t>Fcs</t>
  </si>
  <si>
    <t>Calculate Sbgavg</t>
  </si>
  <si>
    <t>Sbgavg</t>
  </si>
  <si>
    <t>Calculate atten</t>
  </si>
  <si>
    <t>Calculate variable corner factor</t>
  </si>
  <si>
    <t>iusev</t>
  </si>
  <si>
    <t>Fcv</t>
  </si>
  <si>
    <t>Calculate Sbgvar</t>
  </si>
  <si>
    <t>Sbgvar</t>
  </si>
  <si>
    <t>atten</t>
  </si>
  <si>
    <t>Calculate Phase</t>
  </si>
  <si>
    <t>phase</t>
  </si>
  <si>
    <t>rsi1c</t>
  </si>
  <si>
    <t>&lt;== This determines where the insulation value is obtained from</t>
  </si>
  <si>
    <t>rsi2</t>
  </si>
  <si>
    <t>&lt;== This sheet does the calculation at zero RSI for interpolation</t>
  </si>
  <si>
    <t>T2a1</t>
  </si>
  <si>
    <t>T2b1</t>
  </si>
  <si>
    <t>T2cc1</t>
  </si>
  <si>
    <t>T2d1</t>
  </si>
  <si>
    <t>T2e1</t>
  </si>
  <si>
    <t>T2f1</t>
  </si>
  <si>
    <t>T2g1</t>
  </si>
  <si>
    <t>T2h1</t>
  </si>
  <si>
    <t>T2i1</t>
  </si>
  <si>
    <t>T2j1</t>
  </si>
  <si>
    <t>T2q2</t>
  </si>
  <si>
    <t>T2rr2</t>
  </si>
  <si>
    <t>T2u2</t>
  </si>
  <si>
    <t>T2v2</t>
  </si>
  <si>
    <t>T2w2</t>
  </si>
  <si>
    <t>T2x2</t>
  </si>
  <si>
    <t>T2s2</t>
  </si>
  <si>
    <t>T2t2</t>
  </si>
  <si>
    <t>T2y2</t>
  </si>
  <si>
    <t>T2a2</t>
  </si>
  <si>
    <t>T2b2</t>
  </si>
  <si>
    <t>T2cc2</t>
  </si>
  <si>
    <t>T2d2</t>
  </si>
  <si>
    <t>T2e2</t>
  </si>
  <si>
    <t>T2f2</t>
  </si>
  <si>
    <t>T2g2</t>
  </si>
  <si>
    <t>T2h2</t>
  </si>
  <si>
    <t>T2a3</t>
  </si>
  <si>
    <t>T2b3</t>
  </si>
  <si>
    <t>T2cc3</t>
  </si>
  <si>
    <t>T2e3</t>
  </si>
  <si>
    <t>T2f3</t>
  </si>
  <si>
    <t>T2g3</t>
  </si>
  <si>
    <t>T2h3</t>
  </si>
  <si>
    <t>T2i3</t>
  </si>
  <si>
    <t>T2a4</t>
  </si>
  <si>
    <t>T2b4</t>
  </si>
  <si>
    <t>T2cc4</t>
  </si>
  <si>
    <t>T2CCF</t>
  </si>
  <si>
    <t>Note numerator (rsi1c^T2d1) set to 1 (applies only when rsic = 0)</t>
  </si>
  <si>
    <t>*(rsi1c^(T2e2+T2f2*soilk+T2g2*depth+T2h2*overlp))</t>
  </si>
  <si>
    <t>Note: *(rsi1c^(T2e2+T2f2*soilk+T2g2*depth+T2h2*overlp)) set to 1</t>
  </si>
  <si>
    <t>Interpolating BASESIMP parameters (if required)</t>
  </si>
  <si>
    <t>Set 2</t>
  </si>
  <si>
    <t>Set 1</t>
  </si>
  <si>
    <t>Output</t>
  </si>
  <si>
    <t>SbgAvg</t>
  </si>
  <si>
    <t>SbgVar</t>
  </si>
  <si>
    <t>Phase</t>
  </si>
  <si>
    <t>WRSI</t>
  </si>
  <si>
    <t>For Basements only</t>
  </si>
  <si>
    <t>denom</t>
  </si>
  <si>
    <t>RSI value between 0 and 1.5</t>
  </si>
  <si>
    <t>Interpolated</t>
  </si>
  <si>
    <t>Jan</t>
  </si>
  <si>
    <t>Feb</t>
  </si>
  <si>
    <t>Mar</t>
  </si>
  <si>
    <t>Apr</t>
  </si>
  <si>
    <t>May</t>
  </si>
  <si>
    <t>Jun</t>
  </si>
  <si>
    <t>Jul</t>
  </si>
  <si>
    <t>Aug</t>
  </si>
  <si>
    <t>Sep</t>
  </si>
  <si>
    <t>Oct</t>
  </si>
  <si>
    <t>Nov</t>
  </si>
  <si>
    <t>Dec</t>
  </si>
  <si>
    <t>Dry Bulb</t>
  </si>
  <si>
    <t>Ca1</t>
  </si>
  <si>
    <t>Ca2</t>
  </si>
  <si>
    <t>omega</t>
  </si>
  <si>
    <t>Amp0</t>
  </si>
  <si>
    <t>Ph0</t>
  </si>
  <si>
    <t>TempS</t>
  </si>
  <si>
    <t>Heating Degree Days</t>
  </si>
  <si>
    <t>Winnipeg weather data</t>
  </si>
  <si>
    <t>Amps</t>
  </si>
  <si>
    <t>Phs</t>
  </si>
  <si>
    <t>Deep Ground Temp</t>
  </si>
  <si>
    <t>Calculate monthly foundation heat loss coefficients</t>
  </si>
  <si>
    <t>Omega</t>
  </si>
  <si>
    <t>Ca1      =</t>
  </si>
  <si>
    <t>Ca2     =</t>
  </si>
  <si>
    <t>Ca3     =</t>
  </si>
  <si>
    <t>FHLmon</t>
  </si>
  <si>
    <t>Basement temperature</t>
  </si>
  <si>
    <t>Calculate Foundation heating load</t>
  </si>
  <si>
    <t>Watts</t>
  </si>
  <si>
    <t>Load  =</t>
  </si>
  <si>
    <t>Design dry bulb</t>
  </si>
  <si>
    <t>Calculate Foundation cooling load</t>
  </si>
  <si>
    <t>Heating Design month</t>
  </si>
  <si>
    <t>Cooling Design month</t>
  </si>
  <si>
    <t>Calculate Heating and Cooling loads</t>
  </si>
  <si>
    <t>&lt;== Specify Overlap here if TRUE)</t>
  </si>
  <si>
    <t>Determine Appropriate Overlap to use</t>
  </si>
  <si>
    <t>The following are automatically calculated</t>
  </si>
  <si>
    <t>"</t>
  </si>
  <si>
    <t>Inflag = 1</t>
  </si>
  <si>
    <t>Inflag = 2</t>
  </si>
  <si>
    <t>Inflag = 3</t>
  </si>
  <si>
    <t>Inflag = 4</t>
  </si>
  <si>
    <t>iUnInsul</t>
  </si>
  <si>
    <t>WalkSlab</t>
  </si>
  <si>
    <t>iFndFlag1</t>
  </si>
  <si>
    <t>iFndFlag2</t>
  </si>
  <si>
    <t>iFndFlag3</t>
  </si>
  <si>
    <t>iFndFlag4</t>
  </si>
  <si>
    <t>iFndFlag5</t>
  </si>
  <si>
    <t>iFndFlag6</t>
  </si>
  <si>
    <t>iFndFlag7</t>
  </si>
  <si>
    <t>iFndFlag8</t>
  </si>
  <si>
    <t>Interior wall [0=NOT insulated, 1=insulated]</t>
  </si>
  <si>
    <t>Exterior wall [0=NOT insulated, 1=insulated]</t>
  </si>
  <si>
    <t>Floor slab [0=NOT insulated, 1=insulated]</t>
  </si>
  <si>
    <t>Use flags 6,7,8 to determine Inflag</t>
  </si>
  <si>
    <t>Insulation Flag</t>
  </si>
  <si>
    <t>No Brick (0) / Brick (1)</t>
  </si>
  <si>
    <t>Interior or Combo (0) / Exterior (1) [ Above/Below for Slabs ]</t>
  </si>
  <si>
    <t>Full depth (0) / 600 mm below grade (1)</t>
  </si>
  <si>
    <t>Concrete (0) / Wood (1) walls</t>
  </si>
  <si>
    <t>Concrete (0) / Wood (1) floors</t>
  </si>
  <si>
    <t>Points to configuration to be used for the Zero case when interpolation is needed</t>
  </si>
  <si>
    <t>Points to configuration to be used for the walkout slab part of the foundation</t>
  </si>
  <si>
    <t>Abwag</t>
  </si>
  <si>
    <t>Awindow</t>
  </si>
  <si>
    <t>Adoor</t>
  </si>
  <si>
    <t xml:space="preserve">Enter data only in the </t>
  </si>
  <si>
    <t>Yellow cells</t>
  </si>
  <si>
    <t>Agfr</t>
  </si>
  <si>
    <t>Insulation values: Concrete walls, floors, Wood walls, floors</t>
  </si>
  <si>
    <t>Flag4</t>
  </si>
  <si>
    <t>Flag5</t>
  </si>
  <si>
    <t>rVal</t>
  </si>
  <si>
    <t>Uwalls</t>
  </si>
  <si>
    <t>Awalls</t>
  </si>
  <si>
    <t>Afloor</t>
  </si>
  <si>
    <t>Ufloor</t>
  </si>
  <si>
    <t>uBGW</t>
  </si>
  <si>
    <t>uVal</t>
  </si>
  <si>
    <t>Alpha2</t>
  </si>
  <si>
    <t>Alpha3</t>
  </si>
  <si>
    <t>Radiant slab Temperature</t>
  </si>
  <si>
    <t>True if only the Exterior wall is insulated</t>
  </si>
  <si>
    <t>True if both Interior and Exterior walls are insulated, and the slab is not</t>
  </si>
  <si>
    <t>True if only the Interior wall is insulated</t>
  </si>
  <si>
    <t>Exposed Perimeter (m)</t>
  </si>
  <si>
    <t>Perimeter</t>
  </si>
  <si>
    <t>Exposed Fraction</t>
  </si>
  <si>
    <t>True if the Exterior wall and Floor are insulated, and the Interior wall is not</t>
  </si>
  <si>
    <t>True if both Interior wall and the slab are insulated, and the Exterior is not</t>
  </si>
  <si>
    <t>Inflag = 5</t>
  </si>
  <si>
    <t>(Configuration #13)</t>
  </si>
  <si>
    <t>(Based on test house file F280_BWEB4.HSE)</t>
  </si>
  <si>
    <t>True if both Interior and Exterior walls and Slab are insulated.</t>
  </si>
  <si>
    <t>True if both Interior and Exterior walls are uninsulated, Slab has no effect.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</si>
</sst>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00000"/>
    <numFmt numFmtId="193" formatCode="&quot;Yes&quot;;&quot;Yes&quot;;&quot;No&quot;"/>
    <numFmt numFmtId="194" formatCode="&quot;True&quot;;&quot;True&quot;;&quot;False&quot;"/>
    <numFmt numFmtId="195" formatCode="&quot;On&quot;;&quot;On&quot;;&quot;Off&quot;"/>
    <numFmt numFmtId="196" formatCode="[$€-2]\ #,##0.00_);[Red]\([$€-2]\ #,##0.00\)"/>
    <numFmt numFmtId="197" formatCode="0.00000"/>
    <numFmt numFmtId="198" formatCode="0.0"/>
    <numFmt numFmtId="199" formatCode="0.000"/>
    <numFmt numFmtId="200" formatCode="0.0000"/>
  </numFmts>
  <fonts count="41">
    <font>
      <sz val="10"/>
      <name val="Arial"/>
      <family val="2"/>
    </font>
    <font>
      <sz val="8"/>
      <name val="Arial"/>
      <family val="2"/>
    </font>
    <font>
      <sz val="8"/>
      <name val="Tahoma"/>
      <family val="2"/>
    </font>
    <font>
      <b/>
      <sz val="8"/>
      <name val="Tahoma"/>
      <family val="2"/>
    </font>
    <font>
      <b/>
      <sz val="10"/>
      <color indexed="8"/>
      <name val="Tahoma"/>
      <family val="2"/>
    </font>
    <font>
      <b/>
      <sz val="10"/>
      <name val="Arial"/>
      <family val="2"/>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xf>
    <xf numFmtId="192" fontId="0" fillId="0" borderId="0" xfId="0" applyNumberFormat="1" applyAlignment="1">
      <alignment/>
    </xf>
    <xf numFmtId="0" fontId="4" fillId="0" borderId="0" xfId="0" applyFont="1" applyAlignment="1">
      <alignment horizontal="left" indent="1"/>
    </xf>
    <xf numFmtId="49" fontId="5" fillId="0" borderId="0" xfId="0" applyNumberFormat="1" applyFont="1" applyAlignment="1">
      <alignment/>
    </xf>
    <xf numFmtId="197" fontId="0" fillId="0" borderId="0" xfId="0" applyNumberFormat="1" applyAlignment="1">
      <alignment/>
    </xf>
    <xf numFmtId="198" fontId="0" fillId="0" borderId="0" xfId="0" applyNumberFormat="1" applyAlignment="1">
      <alignment/>
    </xf>
    <xf numFmtId="0" fontId="5" fillId="0" borderId="0" xfId="0" applyFont="1" applyAlignment="1">
      <alignment/>
    </xf>
    <xf numFmtId="199" fontId="0" fillId="0" borderId="0" xfId="0" applyNumberFormat="1" applyAlignment="1">
      <alignment/>
    </xf>
    <xf numFmtId="0" fontId="0" fillId="33" borderId="0" xfId="0" applyFill="1" applyAlignment="1">
      <alignment/>
    </xf>
    <xf numFmtId="200" fontId="0" fillId="0" borderId="0" xfId="0" applyNumberFormat="1" applyAlignment="1">
      <alignment/>
    </xf>
    <xf numFmtId="2" fontId="0" fillId="0" borderId="0" xfId="0" applyNumberFormat="1" applyAlignment="1">
      <alignment/>
    </xf>
    <xf numFmtId="2" fontId="5"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selection activeCell="G22" sqref="G22"/>
    </sheetView>
  </sheetViews>
  <sheetFormatPr defaultColWidth="9.140625" defaultRowHeight="12.75"/>
  <cols>
    <col min="1" max="1" width="21.7109375" style="0" customWidth="1"/>
    <col min="11" max="11" width="10.28125" style="0" customWidth="1"/>
  </cols>
  <sheetData>
    <row r="1" ht="12.75">
      <c r="A1" t="s">
        <v>0</v>
      </c>
    </row>
    <row r="2" spans="9:11" ht="12.75">
      <c r="I2" t="s">
        <v>240</v>
      </c>
      <c r="K2" s="8" t="s">
        <v>241</v>
      </c>
    </row>
    <row r="3" ht="12.75">
      <c r="A3" t="s">
        <v>266</v>
      </c>
    </row>
    <row r="6" spans="1:12" ht="12.75">
      <c r="A6" t="s">
        <v>1</v>
      </c>
      <c r="G6" t="s">
        <v>259</v>
      </c>
      <c r="J6" t="s">
        <v>260</v>
      </c>
      <c r="L6" t="s">
        <v>261</v>
      </c>
    </row>
    <row r="7" spans="1:12" ht="12.75">
      <c r="A7" t="s">
        <v>2</v>
      </c>
      <c r="B7" s="8">
        <v>13.6</v>
      </c>
      <c r="C7" t="s">
        <v>7</v>
      </c>
      <c r="D7" t="s">
        <v>79</v>
      </c>
      <c r="E7">
        <f>MAX(B7,B8)</f>
        <v>13.6</v>
      </c>
      <c r="G7" s="8">
        <v>0</v>
      </c>
      <c r="J7">
        <f>2*(length+width)</f>
        <v>42.4</v>
      </c>
      <c r="K7">
        <f>IF(G7&gt;0,G7,J7)</f>
        <v>42.4</v>
      </c>
      <c r="L7" s="9">
        <f>MIN(1,MAX(K7/J7,0))</f>
        <v>1</v>
      </c>
    </row>
    <row r="8" spans="1:5" ht="12.75">
      <c r="A8" t="s">
        <v>3</v>
      </c>
      <c r="B8" s="8">
        <v>7.6</v>
      </c>
      <c r="C8" t="s">
        <v>7</v>
      </c>
      <c r="D8" t="s">
        <v>80</v>
      </c>
      <c r="E8">
        <f>MIN(B7,B8)</f>
        <v>7.6</v>
      </c>
    </row>
    <row r="10" spans="1:11" ht="12.75">
      <c r="A10" t="s">
        <v>4</v>
      </c>
      <c r="G10" t="s">
        <v>237</v>
      </c>
      <c r="H10" t="s">
        <v>238</v>
      </c>
      <c r="I10" t="s">
        <v>239</v>
      </c>
      <c r="K10" t="s">
        <v>242</v>
      </c>
    </row>
    <row r="11" spans="1:11" ht="12.75">
      <c r="A11" t="s">
        <v>5</v>
      </c>
      <c r="B11" s="8">
        <v>2.59</v>
      </c>
      <c r="C11" t="s">
        <v>73</v>
      </c>
      <c r="D11" t="s">
        <v>7</v>
      </c>
      <c r="G11">
        <f>(height-depth)*2*(length+width)</f>
        <v>36.03999999999999</v>
      </c>
      <c r="H11" s="8">
        <v>0</v>
      </c>
      <c r="I11" s="8">
        <v>0</v>
      </c>
      <c r="K11" s="9">
        <f>(G11-H11-I11)/G11</f>
        <v>1</v>
      </c>
    </row>
    <row r="12" spans="1:4" ht="12.75">
      <c r="A12" t="s">
        <v>6</v>
      </c>
      <c r="B12" s="8">
        <v>1.74</v>
      </c>
      <c r="C12" t="s">
        <v>74</v>
      </c>
      <c r="D12" t="s">
        <v>7</v>
      </c>
    </row>
    <row r="13" spans="7:8" ht="12.75">
      <c r="G13" t="s">
        <v>248</v>
      </c>
      <c r="H13" t="s">
        <v>249</v>
      </c>
    </row>
    <row r="14" spans="1:8" ht="12.75">
      <c r="A14" t="s">
        <v>8</v>
      </c>
      <c r="B14" s="8">
        <v>0.85</v>
      </c>
      <c r="C14" t="s">
        <v>75</v>
      </c>
      <c r="D14" t="s">
        <v>10</v>
      </c>
      <c r="G14">
        <f>height*2*(length+width)</f>
        <v>109.81599999999999</v>
      </c>
      <c r="H14">
        <f>length*width</f>
        <v>103.36</v>
      </c>
    </row>
    <row r="15" spans="1:4" ht="12.75">
      <c r="A15" t="s">
        <v>9</v>
      </c>
      <c r="B15" s="8">
        <v>8</v>
      </c>
      <c r="C15" t="s">
        <v>83</v>
      </c>
      <c r="D15" t="s">
        <v>7</v>
      </c>
    </row>
    <row r="16" spans="1:3" ht="12.75">
      <c r="A16" t="s">
        <v>81</v>
      </c>
      <c r="B16" s="8">
        <v>139</v>
      </c>
      <c r="C16">
        <f>CORC!A40</f>
        <v>13</v>
      </c>
    </row>
    <row r="17" spans="1:4" ht="12.75">
      <c r="A17" t="s">
        <v>11</v>
      </c>
      <c r="B17" s="8">
        <v>0</v>
      </c>
      <c r="D17" t="s">
        <v>13</v>
      </c>
    </row>
    <row r="18" spans="1:4" ht="12.75">
      <c r="A18" t="s">
        <v>12</v>
      </c>
      <c r="B18" s="8">
        <v>2.1</v>
      </c>
      <c r="D18" t="s">
        <v>13</v>
      </c>
    </row>
    <row r="19" spans="1:4" ht="12.75">
      <c r="A19" t="s">
        <v>14</v>
      </c>
      <c r="B19" s="8">
        <v>1.6</v>
      </c>
      <c r="D19" t="s">
        <v>13</v>
      </c>
    </row>
    <row r="21" ht="12.75">
      <c r="A21" t="s">
        <v>208</v>
      </c>
    </row>
    <row r="22" spans="1:4" ht="12.75">
      <c r="A22" t="b">
        <f>OR($B$16=11,$B$16=12,$B$16=116,$B$16=117)</f>
        <v>0</v>
      </c>
      <c r="B22">
        <f>IF(A22,C22,0)</f>
        <v>0</v>
      </c>
      <c r="C22" s="8">
        <v>1.1</v>
      </c>
      <c r="D22" s="6" t="s">
        <v>207</v>
      </c>
    </row>
    <row r="23" spans="1:3" ht="12.75">
      <c r="A23" t="b">
        <f>OR($B$16=93,$B$16=95,$B$16=114,$B$16=115)</f>
        <v>0</v>
      </c>
      <c r="B23">
        <f>IF(A23,0.6,0)</f>
        <v>0</v>
      </c>
      <c r="C23" t="s">
        <v>209</v>
      </c>
    </row>
    <row r="24" spans="1:3" ht="12.75">
      <c r="A24" t="b">
        <f>OR($B$16=94,$B$16=96)</f>
        <v>0</v>
      </c>
      <c r="B24">
        <f>IF(A24,depth-0.2,0)</f>
        <v>0</v>
      </c>
      <c r="C24" t="s">
        <v>210</v>
      </c>
    </row>
    <row r="25" spans="1:3" ht="12.75">
      <c r="A25" t="b">
        <f>OR($B$16=68,$B$16=69,$B$16=92)</f>
        <v>0</v>
      </c>
      <c r="B25">
        <f>IF(A25,depth-0.6,0)</f>
        <v>0</v>
      </c>
      <c r="C25" t="s">
        <v>210</v>
      </c>
    </row>
    <row r="26" ht="12.75"/>
    <row r="27" spans="1:4" ht="12.75">
      <c r="A27" t="s">
        <v>52</v>
      </c>
      <c r="B27">
        <f>SUM(B22:B25)</f>
        <v>0</v>
      </c>
      <c r="C27" t="s">
        <v>76</v>
      </c>
      <c r="D27" t="s">
        <v>7</v>
      </c>
    </row>
    <row r="29" spans="1:2" ht="12.75">
      <c r="A29" t="s">
        <v>64</v>
      </c>
      <c r="B29">
        <f>CORC!B60</f>
        <v>3</v>
      </c>
    </row>
    <row r="31" ht="12.75">
      <c r="A31" t="s">
        <v>188</v>
      </c>
    </row>
    <row r="32" spans="1:6" ht="12.75">
      <c r="A32" t="s">
        <v>187</v>
      </c>
      <c r="B32" s="8">
        <v>5670</v>
      </c>
      <c r="D32" t="s">
        <v>191</v>
      </c>
      <c r="F32" s="8">
        <v>6</v>
      </c>
    </row>
    <row r="33" spans="3:6" ht="12.75">
      <c r="C33" t="s">
        <v>180</v>
      </c>
      <c r="D33" t="s">
        <v>183</v>
      </c>
      <c r="E33" t="s">
        <v>181</v>
      </c>
      <c r="F33" t="s">
        <v>182</v>
      </c>
    </row>
    <row r="34" spans="1:6" ht="12.75">
      <c r="A34" t="s">
        <v>168</v>
      </c>
      <c r="B34">
        <v>1</v>
      </c>
      <c r="C34" s="8">
        <v>-16</v>
      </c>
      <c r="D34" s="4">
        <f>PI()/6*(B34-0.5)</f>
        <v>0.2617993877991494</v>
      </c>
      <c r="E34" s="4">
        <f>C34*SIN(D34)</f>
        <v>-4.141104721640332</v>
      </c>
      <c r="F34" s="4">
        <f>C34*COS(D34)</f>
        <v>-15.454813220625093</v>
      </c>
    </row>
    <row r="35" spans="1:6" ht="12.75">
      <c r="A35" t="s">
        <v>169</v>
      </c>
      <c r="B35">
        <f>B34+1</f>
        <v>2</v>
      </c>
      <c r="C35" s="8">
        <v>-13</v>
      </c>
      <c r="D35" s="4">
        <f aca="true" t="shared" si="0" ref="D35:D45">PI()/6*(B35-0.5)</f>
        <v>0.7853981633974483</v>
      </c>
      <c r="E35" s="4">
        <f aca="true" t="shared" si="1" ref="E35:E45">C35*SIN(D35)</f>
        <v>-9.192388155425117</v>
      </c>
      <c r="F35" s="4">
        <f aca="true" t="shared" si="2" ref="F35:F45">C35*COS(D35)</f>
        <v>-9.19238815542512</v>
      </c>
    </row>
    <row r="36" spans="1:6" ht="12.75">
      <c r="A36" t="s">
        <v>170</v>
      </c>
      <c r="B36">
        <f aca="true" t="shared" si="3" ref="B36:B45">B35+1</f>
        <v>3</v>
      </c>
      <c r="C36" s="8">
        <v>-6</v>
      </c>
      <c r="D36" s="4">
        <f t="shared" si="0"/>
        <v>1.308996938995747</v>
      </c>
      <c r="E36" s="4">
        <f t="shared" si="1"/>
        <v>-5.795554957734409</v>
      </c>
      <c r="F36" s="4">
        <f t="shared" si="2"/>
        <v>-1.5529142706151258</v>
      </c>
    </row>
    <row r="37" spans="1:6" ht="12.75">
      <c r="A37" t="s">
        <v>171</v>
      </c>
      <c r="B37">
        <f t="shared" si="3"/>
        <v>4</v>
      </c>
      <c r="C37" s="8">
        <v>4</v>
      </c>
      <c r="D37" s="4">
        <f t="shared" si="0"/>
        <v>1.832595714594046</v>
      </c>
      <c r="E37" s="4">
        <f t="shared" si="1"/>
        <v>3.8637033051562732</v>
      </c>
      <c r="F37" s="4">
        <f t="shared" si="2"/>
        <v>-1.0352761804100825</v>
      </c>
    </row>
    <row r="38" spans="1:6" ht="12.75">
      <c r="A38" t="s">
        <v>172</v>
      </c>
      <c r="B38">
        <f t="shared" si="3"/>
        <v>5</v>
      </c>
      <c r="C38" s="8">
        <v>12</v>
      </c>
      <c r="D38" s="4">
        <f t="shared" si="0"/>
        <v>2.356194490192345</v>
      </c>
      <c r="E38" s="4">
        <f t="shared" si="1"/>
        <v>8.485281374238571</v>
      </c>
      <c r="F38" s="4">
        <f t="shared" si="2"/>
        <v>-8.48528137423857</v>
      </c>
    </row>
    <row r="39" spans="1:6" ht="12.75">
      <c r="A39" t="s">
        <v>173</v>
      </c>
      <c r="B39">
        <f t="shared" si="3"/>
        <v>6</v>
      </c>
      <c r="C39" s="8">
        <v>17</v>
      </c>
      <c r="D39" s="4">
        <f t="shared" si="0"/>
        <v>2.8797932657906435</v>
      </c>
      <c r="E39" s="4">
        <f t="shared" si="1"/>
        <v>4.399923766742857</v>
      </c>
      <c r="F39" s="4">
        <f t="shared" si="2"/>
        <v>-16.42073904691416</v>
      </c>
    </row>
    <row r="40" spans="1:6" ht="12.75">
      <c r="A40" t="s">
        <v>174</v>
      </c>
      <c r="B40">
        <f t="shared" si="3"/>
        <v>7</v>
      </c>
      <c r="C40" s="8">
        <v>20</v>
      </c>
      <c r="D40" s="4">
        <f t="shared" si="0"/>
        <v>3.4033920413889422</v>
      </c>
      <c r="E40" s="4">
        <f t="shared" si="1"/>
        <v>-5.176380902050407</v>
      </c>
      <c r="F40" s="4">
        <f t="shared" si="2"/>
        <v>-19.31851652578137</v>
      </c>
    </row>
    <row r="41" spans="1:6" ht="12.75">
      <c r="A41" t="s">
        <v>175</v>
      </c>
      <c r="B41">
        <f t="shared" si="3"/>
        <v>8</v>
      </c>
      <c r="C41" s="8">
        <v>19</v>
      </c>
      <c r="D41" s="4">
        <f t="shared" si="0"/>
        <v>3.926990816987241</v>
      </c>
      <c r="E41" s="4">
        <f t="shared" si="1"/>
        <v>-13.435028842544396</v>
      </c>
      <c r="F41" s="4">
        <f t="shared" si="2"/>
        <v>-13.43502884254441</v>
      </c>
    </row>
    <row r="42" spans="1:6" ht="12.75">
      <c r="A42" t="s">
        <v>176</v>
      </c>
      <c r="B42">
        <f t="shared" si="3"/>
        <v>9</v>
      </c>
      <c r="C42" s="8">
        <v>13</v>
      </c>
      <c r="D42" s="4">
        <f t="shared" si="0"/>
        <v>4.45058959258554</v>
      </c>
      <c r="E42" s="4">
        <f t="shared" si="1"/>
        <v>-12.557035741757884</v>
      </c>
      <c r="F42" s="4">
        <f t="shared" si="2"/>
        <v>-3.36464758633278</v>
      </c>
    </row>
    <row r="43" spans="1:6" ht="12.75">
      <c r="A43" t="s">
        <v>177</v>
      </c>
      <c r="B43">
        <f t="shared" si="3"/>
        <v>10</v>
      </c>
      <c r="C43" s="8">
        <v>5</v>
      </c>
      <c r="D43" s="4">
        <f t="shared" si="0"/>
        <v>4.974188368183839</v>
      </c>
      <c r="E43" s="4">
        <f t="shared" si="1"/>
        <v>-4.829629131445342</v>
      </c>
      <c r="F43" s="4">
        <f t="shared" si="2"/>
        <v>1.2940952255126015</v>
      </c>
    </row>
    <row r="44" spans="1:6" ht="12.75">
      <c r="A44" t="s">
        <v>178</v>
      </c>
      <c r="B44">
        <f t="shared" si="3"/>
        <v>11</v>
      </c>
      <c r="C44" s="8">
        <v>-5</v>
      </c>
      <c r="D44" s="4">
        <f t="shared" si="0"/>
        <v>5.497787143782138</v>
      </c>
      <c r="E44" s="4">
        <f t="shared" si="1"/>
        <v>3.5355339059327386</v>
      </c>
      <c r="F44" s="4">
        <f t="shared" si="2"/>
        <v>-3.535533905932737</v>
      </c>
    </row>
    <row r="45" spans="1:6" ht="12.75">
      <c r="A45" t="s">
        <v>179</v>
      </c>
      <c r="B45">
        <f t="shared" si="3"/>
        <v>12</v>
      </c>
      <c r="C45" s="8">
        <v>-13</v>
      </c>
      <c r="D45" s="4">
        <f t="shared" si="0"/>
        <v>6.021385919380436</v>
      </c>
      <c r="E45" s="4">
        <f t="shared" si="1"/>
        <v>3.3646475863327803</v>
      </c>
      <c r="F45" s="4">
        <f t="shared" si="2"/>
        <v>-12.557035741757884</v>
      </c>
    </row>
    <row r="47" spans="3:6" ht="12.75">
      <c r="C47" s="5">
        <f>SUM(C34:C45)</f>
        <v>37</v>
      </c>
      <c r="E47" s="5">
        <f>SUM(E34:E45)</f>
        <v>-31.478032514194673</v>
      </c>
      <c r="F47" s="5">
        <f>SUM(F34:F45)</f>
        <v>-103.05807962506472</v>
      </c>
    </row>
    <row r="49" spans="1:2" ht="12.75">
      <c r="A49" t="s">
        <v>184</v>
      </c>
      <c r="B49">
        <f>-SQRT(E47*E47+F47*F47)/6</f>
        <v>-17.959703588072195</v>
      </c>
    </row>
    <row r="50" spans="1:2" ht="12.75">
      <c r="A50" t="s">
        <v>185</v>
      </c>
      <c r="B50">
        <f>ATAN(E47/F47)</f>
        <v>0.29643987505382796</v>
      </c>
    </row>
    <row r="51" spans="1:2" ht="12.75">
      <c r="A51" t="s">
        <v>186</v>
      </c>
      <c r="B51">
        <f>C47/12+0.0009189*B32-1.438</f>
        <v>6.855496333333334</v>
      </c>
    </row>
    <row r="52" spans="1:2" ht="12.75">
      <c r="A52" t="s">
        <v>189</v>
      </c>
      <c r="B52">
        <f>-(B49+0.00197*B32-7.8747)</f>
        <v>14.664503588072193</v>
      </c>
    </row>
    <row r="53" spans="1:2" ht="12.75">
      <c r="A53" t="s">
        <v>190</v>
      </c>
      <c r="B53">
        <f>B50+0.00002128*B32-0.0756</f>
        <v>0.341497475053828</v>
      </c>
    </row>
    <row r="55" spans="1:2" ht="12.75">
      <c r="A55" t="s">
        <v>204</v>
      </c>
      <c r="B55" s="8">
        <v>1</v>
      </c>
    </row>
    <row r="56" spans="1:2" ht="12.75">
      <c r="A56" t="s">
        <v>198</v>
      </c>
      <c r="B56" s="8">
        <v>22</v>
      </c>
    </row>
    <row r="57" spans="1:2" ht="12.75">
      <c r="A57" t="s">
        <v>202</v>
      </c>
      <c r="B57" s="8">
        <v>-33</v>
      </c>
    </row>
    <row r="58" spans="1:2" ht="12.75">
      <c r="A58" t="s">
        <v>255</v>
      </c>
      <c r="B58" s="8">
        <v>0</v>
      </c>
    </row>
    <row r="60" spans="1:2" ht="12.75">
      <c r="A60" t="s">
        <v>205</v>
      </c>
      <c r="B60" s="8">
        <v>7</v>
      </c>
    </row>
    <row r="61" spans="1:2" ht="12.75">
      <c r="A61" t="s">
        <v>198</v>
      </c>
      <c r="B61" s="8">
        <v>24</v>
      </c>
    </row>
    <row r="62" spans="1:2" ht="12.75">
      <c r="A62" t="s">
        <v>202</v>
      </c>
      <c r="B62" s="8">
        <v>30</v>
      </c>
    </row>
  </sheetData>
  <sheetProtection/>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K54"/>
  <sheetViews>
    <sheetView zoomScalePageLayoutView="0" workbookViewId="0" topLeftCell="A16">
      <selection activeCell="B49" sqref="B49"/>
    </sheetView>
  </sheetViews>
  <sheetFormatPr defaultColWidth="9.140625" defaultRowHeight="12.75"/>
  <cols>
    <col min="1" max="1" width="10.28125" style="0" customWidth="1"/>
  </cols>
  <sheetData>
    <row r="1" ht="12.75">
      <c r="A1" s="6" t="s">
        <v>206</v>
      </c>
    </row>
    <row r="2" ht="12.75">
      <c r="A2" s="6"/>
    </row>
    <row r="3" ht="12.75">
      <c r="A3" s="6"/>
    </row>
    <row r="4" ht="12.75">
      <c r="A4" t="s">
        <v>65</v>
      </c>
    </row>
    <row r="7" spans="1:2" ht="12.75">
      <c r="A7" t="s">
        <v>211</v>
      </c>
      <c r="B7">
        <f>IF(Inflag=1,0,0)</f>
        <v>0</v>
      </c>
    </row>
    <row r="8" spans="1:2" ht="12.75">
      <c r="A8" t="s">
        <v>212</v>
      </c>
      <c r="B8">
        <f>IF(Inflag=2,MAX(Input!B17,Input!B18),0)</f>
        <v>0</v>
      </c>
    </row>
    <row r="9" spans="1:2" ht="12.75">
      <c r="A9" t="s">
        <v>213</v>
      </c>
      <c r="B9">
        <f>IF(Inflag=3,0.88*MAX(Input!B17,Input!B18)+0.12*Input!B19,0)</f>
        <v>2.04</v>
      </c>
    </row>
    <row r="10" spans="1:2" ht="12.75">
      <c r="A10" t="s">
        <v>214</v>
      </c>
      <c r="B10">
        <f>IF(Inflag=4,Input!B17+Input!B18,0)</f>
        <v>0</v>
      </c>
    </row>
    <row r="11" spans="1:2" ht="12.75">
      <c r="A11" t="s">
        <v>264</v>
      </c>
      <c r="B11">
        <f>IF(Inflag=5,(Input!B17+Input!B18)*0.44+0.12*Input!B19,0)</f>
        <v>0</v>
      </c>
    </row>
    <row r="13" spans="1:2" ht="12.75">
      <c r="A13" t="s">
        <v>66</v>
      </c>
      <c r="B13">
        <f>SUM(B7:B11)</f>
        <v>2.04</v>
      </c>
    </row>
    <row r="15" spans="1:2" ht="12.75">
      <c r="A15" t="s">
        <v>112</v>
      </c>
      <c r="B15">
        <f>IF(rsi1&gt;1.5,rsi1,1.5)</f>
        <v>2.04</v>
      </c>
    </row>
    <row r="18" ht="12.75">
      <c r="A18" t="s">
        <v>156</v>
      </c>
    </row>
    <row r="19" spans="3:6" ht="12.75">
      <c r="C19" t="s">
        <v>78</v>
      </c>
      <c r="D19" t="s">
        <v>160</v>
      </c>
      <c r="E19" t="s">
        <v>161</v>
      </c>
      <c r="F19" t="s">
        <v>162</v>
      </c>
    </row>
    <row r="20" spans="1:6" ht="12.75">
      <c r="A20" t="s">
        <v>157</v>
      </c>
      <c r="B20">
        <v>0</v>
      </c>
      <c r="C20">
        <f>'BS2'!B24</f>
        <v>55.97822588235292</v>
      </c>
      <c r="D20">
        <f>'BS2'!B47</f>
        <v>76.51581318238136</v>
      </c>
      <c r="E20">
        <f>'BS2'!B63</f>
        <v>42.078014877739356</v>
      </c>
      <c r="F20">
        <f>'BS2'!B66</f>
        <v>2.983</v>
      </c>
    </row>
    <row r="21" spans="1:6" ht="12.75">
      <c r="A21" t="s">
        <v>158</v>
      </c>
      <c r="B21">
        <f>rsi2</f>
        <v>2.04</v>
      </c>
      <c r="C21">
        <f>'BS1'!B24</f>
        <v>15.634548865238798</v>
      </c>
      <c r="D21">
        <f>'BS1'!B47</f>
        <v>43.33128877222755</v>
      </c>
      <c r="E21">
        <f>'BS1'!B63</f>
        <v>15.745691242930238</v>
      </c>
      <c r="F21">
        <f>'BS1'!B66</f>
        <v>2.6576901960784314</v>
      </c>
    </row>
    <row r="22" spans="1:3" ht="12.75">
      <c r="A22" t="s">
        <v>163</v>
      </c>
      <c r="B22">
        <v>2.29</v>
      </c>
      <c r="C22" t="s">
        <v>164</v>
      </c>
    </row>
    <row r="23" spans="1:2" ht="12.75">
      <c r="A23" t="s">
        <v>165</v>
      </c>
      <c r="B23">
        <f>EXP(B22*rsi1)</f>
        <v>106.86859546632117</v>
      </c>
    </row>
    <row r="24" spans="3:6" ht="12.75">
      <c r="C24" s="6" t="s">
        <v>78</v>
      </c>
      <c r="D24" s="6" t="s">
        <v>160</v>
      </c>
      <c r="E24" s="6" t="s">
        <v>161</v>
      </c>
      <c r="F24" s="6" t="s">
        <v>162</v>
      </c>
    </row>
    <row r="25" spans="1:6" ht="12.75">
      <c r="A25" t="s">
        <v>167</v>
      </c>
      <c r="B25">
        <f>rsi1</f>
        <v>2.04</v>
      </c>
      <c r="C25">
        <f>C21+(C20-C21)/$B$23</f>
        <v>16.01205618477523</v>
      </c>
      <c r="D25">
        <f>D21+(D20-D21)/$B$23</f>
        <v>43.641805854120065</v>
      </c>
      <c r="E25">
        <f>E21+(E20-E21)/$B$23</f>
        <v>15.99209032322046</v>
      </c>
      <c r="F25">
        <f>F21+(F20-F21)/$B$23</f>
        <v>2.6607342129152025</v>
      </c>
    </row>
    <row r="26" spans="2:3" ht="12.75">
      <c r="B26" t="b">
        <f>AND(rsi1&gt;0.01,rsi1&lt;1.501)</f>
        <v>0</v>
      </c>
      <c r="C26" t="s">
        <v>166</v>
      </c>
    </row>
    <row r="27" spans="1:6" ht="12.75">
      <c r="A27" s="6" t="s">
        <v>159</v>
      </c>
      <c r="C27">
        <f>IF($B$26,C25,C21)</f>
        <v>15.634548865238798</v>
      </c>
      <c r="D27">
        <f>IF($B$26,D25,D21)</f>
        <v>43.33128877222755</v>
      </c>
      <c r="E27">
        <f>IF($B$26,E25,E21)</f>
        <v>15.745691242930238</v>
      </c>
      <c r="F27">
        <f>IF($B$26,F25,F21)</f>
        <v>2.6576901960784314</v>
      </c>
    </row>
    <row r="30" ht="12.75">
      <c r="A30" s="6" t="s">
        <v>192</v>
      </c>
    </row>
    <row r="32" spans="1:11" ht="12.75">
      <c r="A32" t="s">
        <v>193</v>
      </c>
      <c r="B32">
        <f>2*PI()/365</f>
        <v>0.01721420632103996</v>
      </c>
      <c r="D32" t="s">
        <v>194</v>
      </c>
      <c r="E32">
        <f>E27*Input!$B$52/Loads!B32</f>
        <v>13413.499375013758</v>
      </c>
      <c r="G32" t="s">
        <v>195</v>
      </c>
      <c r="H32">
        <f>$F$27-PI()/2-Input!$B$53</f>
        <v>0.7453963942297068</v>
      </c>
      <c r="J32" t="s">
        <v>196</v>
      </c>
      <c r="K32">
        <f>COS(H32)</f>
        <v>0.7348191005232237</v>
      </c>
    </row>
    <row r="33" ht="12.75">
      <c r="G33" t="s">
        <v>197</v>
      </c>
    </row>
    <row r="34" spans="1:7" ht="12.75">
      <c r="A34" t="s">
        <v>168</v>
      </c>
      <c r="B34">
        <v>1</v>
      </c>
      <c r="C34">
        <v>31</v>
      </c>
      <c r="D34">
        <f>C34</f>
        <v>31</v>
      </c>
      <c r="E34" s="4">
        <f>COS($B$32*D34+$H$32)</f>
        <v>0.2876378467684241</v>
      </c>
      <c r="F34" s="4">
        <f>K32</f>
        <v>0.7348191005232237</v>
      </c>
      <c r="G34" s="7">
        <f>$E$32*(F34-E34)/C34</f>
        <v>193.49243444380238</v>
      </c>
    </row>
    <row r="35" spans="1:7" ht="12.75">
      <c r="A35" t="s">
        <v>169</v>
      </c>
      <c r="B35">
        <f aca="true" t="shared" si="0" ref="B35:B45">B34+1</f>
        <v>2</v>
      </c>
      <c r="C35">
        <v>28</v>
      </c>
      <c r="D35">
        <f aca="true" t="shared" si="1" ref="D35:D45">D34+C35</f>
        <v>59</v>
      </c>
      <c r="E35" s="4">
        <f>COS($B$32*D35+$H$32)</f>
        <v>-0.1890928426729887</v>
      </c>
      <c r="F35" s="4">
        <f>E34</f>
        <v>0.2876378467684241</v>
      </c>
      <c r="G35" s="7">
        <f>$E$32*(F35-E35)/C35</f>
        <v>228.37952874543817</v>
      </c>
    </row>
    <row r="36" spans="1:7" ht="12.75">
      <c r="A36" t="s">
        <v>170</v>
      </c>
      <c r="B36">
        <f t="shared" si="0"/>
        <v>3</v>
      </c>
      <c r="C36">
        <v>31</v>
      </c>
      <c r="D36">
        <f t="shared" si="1"/>
        <v>90</v>
      </c>
      <c r="E36" s="4">
        <f aca="true" t="shared" si="2" ref="E36:E45">COS($B$32*D36+$H$32)</f>
        <v>-0.6622956858473166</v>
      </c>
      <c r="F36" s="4">
        <f aca="true" t="shared" si="3" ref="F36:F45">E35</f>
        <v>-0.1890928426729887</v>
      </c>
      <c r="G36" s="7">
        <f aca="true" t="shared" si="4" ref="G36:G45">$E$32*(F36-E36)/C36</f>
        <v>204.75180777979293</v>
      </c>
    </row>
    <row r="37" spans="1:7" ht="12.75">
      <c r="A37" t="s">
        <v>171</v>
      </c>
      <c r="B37">
        <f t="shared" si="0"/>
        <v>4</v>
      </c>
      <c r="C37">
        <v>30</v>
      </c>
      <c r="D37">
        <f t="shared" si="1"/>
        <v>120</v>
      </c>
      <c r="E37" s="4">
        <f t="shared" si="2"/>
        <v>-0.9458829618464982</v>
      </c>
      <c r="F37" s="4">
        <f t="shared" si="3"/>
        <v>-0.6622956858473166</v>
      </c>
      <c r="G37" s="7">
        <f t="shared" si="4"/>
        <v>126.7965916458959</v>
      </c>
    </row>
    <row r="38" spans="1:7" ht="12.75">
      <c r="A38" t="s">
        <v>172</v>
      </c>
      <c r="B38">
        <f t="shared" si="0"/>
        <v>5</v>
      </c>
      <c r="C38">
        <v>31</v>
      </c>
      <c r="D38">
        <f t="shared" si="1"/>
        <v>151</v>
      </c>
      <c r="E38" s="4">
        <f t="shared" si="2"/>
        <v>-0.9794361310485683</v>
      </c>
      <c r="F38" s="4">
        <f t="shared" si="3"/>
        <v>-0.9458829618464982</v>
      </c>
      <c r="G38" s="7">
        <f t="shared" si="4"/>
        <v>14.51823916521606</v>
      </c>
    </row>
    <row r="39" spans="1:7" ht="12.75">
      <c r="A39" t="s">
        <v>173</v>
      </c>
      <c r="B39">
        <f t="shared" si="0"/>
        <v>6</v>
      </c>
      <c r="C39">
        <v>30</v>
      </c>
      <c r="D39">
        <f t="shared" si="1"/>
        <v>181</v>
      </c>
      <c r="E39" s="4">
        <f t="shared" si="2"/>
        <v>-0.7520858438660444</v>
      </c>
      <c r="F39" s="4">
        <f t="shared" si="3"/>
        <v>-0.9794361310485683</v>
      </c>
      <c r="G39" s="7">
        <f t="shared" si="4"/>
        <v>-101.65209783439944</v>
      </c>
    </row>
    <row r="40" spans="1:7" ht="12.75">
      <c r="A40" t="s">
        <v>174</v>
      </c>
      <c r="B40">
        <f t="shared" si="0"/>
        <v>7</v>
      </c>
      <c r="C40">
        <v>31</v>
      </c>
      <c r="D40">
        <f t="shared" si="1"/>
        <v>212</v>
      </c>
      <c r="E40" s="4">
        <f t="shared" si="2"/>
        <v>-0.31226929581767915</v>
      </c>
      <c r="F40" s="4">
        <f t="shared" si="3"/>
        <v>-0.7520858438660444</v>
      </c>
      <c r="G40" s="7">
        <f t="shared" si="4"/>
        <v>-190.30577394733726</v>
      </c>
    </row>
    <row r="41" spans="1:7" ht="12.75">
      <c r="A41" t="s">
        <v>175</v>
      </c>
      <c r="B41">
        <f t="shared" si="0"/>
        <v>8</v>
      </c>
      <c r="C41">
        <v>31</v>
      </c>
      <c r="D41">
        <f t="shared" si="1"/>
        <v>243</v>
      </c>
      <c r="E41" s="4">
        <f t="shared" si="2"/>
        <v>0.2143824635497852</v>
      </c>
      <c r="F41" s="4">
        <f t="shared" si="3"/>
        <v>-0.31226929581767915</v>
      </c>
      <c r="G41" s="7">
        <f t="shared" si="4"/>
        <v>-227.8788079072703</v>
      </c>
    </row>
    <row r="42" spans="1:7" ht="12.75">
      <c r="A42" t="s">
        <v>176</v>
      </c>
      <c r="B42">
        <f t="shared" si="0"/>
        <v>9</v>
      </c>
      <c r="C42">
        <v>30</v>
      </c>
      <c r="D42">
        <f t="shared" si="1"/>
        <v>273</v>
      </c>
      <c r="E42" s="4">
        <f t="shared" si="2"/>
        <v>0.6687198822746028</v>
      </c>
      <c r="F42" s="4">
        <f t="shared" si="3"/>
        <v>0.2143824635497852</v>
      </c>
      <c r="G42" s="7">
        <f t="shared" si="4"/>
        <v>-203.14182273702352</v>
      </c>
    </row>
    <row r="43" spans="1:7" ht="12.75">
      <c r="A43" t="s">
        <v>177</v>
      </c>
      <c r="B43">
        <f t="shared" si="0"/>
        <v>10</v>
      </c>
      <c r="C43">
        <v>31</v>
      </c>
      <c r="D43">
        <f t="shared" si="1"/>
        <v>304</v>
      </c>
      <c r="E43" s="4">
        <f t="shared" si="2"/>
        <v>0.9539459399747799</v>
      </c>
      <c r="F43" s="4">
        <f t="shared" si="3"/>
        <v>0.6687198822746028</v>
      </c>
      <c r="G43" s="7">
        <f t="shared" si="4"/>
        <v>-123.41546924835369</v>
      </c>
    </row>
    <row r="44" spans="1:7" ht="12.75">
      <c r="A44" t="s">
        <v>178</v>
      </c>
      <c r="B44">
        <f t="shared" si="0"/>
        <v>11</v>
      </c>
      <c r="C44">
        <v>30</v>
      </c>
      <c r="D44">
        <f t="shared" si="1"/>
        <v>334</v>
      </c>
      <c r="E44" s="4">
        <f t="shared" si="2"/>
        <v>0.9776633517937995</v>
      </c>
      <c r="F44" s="4">
        <f t="shared" si="3"/>
        <v>0.9539459399747799</v>
      </c>
      <c r="G44" s="7">
        <f t="shared" si="4"/>
        <v>-10.60444962037875</v>
      </c>
    </row>
    <row r="45" spans="1:7" ht="12.75">
      <c r="A45" t="s">
        <v>179</v>
      </c>
      <c r="B45">
        <f t="shared" si="0"/>
        <v>12</v>
      </c>
      <c r="C45">
        <v>31</v>
      </c>
      <c r="D45">
        <f t="shared" si="1"/>
        <v>365</v>
      </c>
      <c r="E45" s="4">
        <f t="shared" si="2"/>
        <v>0.7348191005232237</v>
      </c>
      <c r="F45" s="4">
        <f t="shared" si="3"/>
        <v>0.9776633517937995</v>
      </c>
      <c r="G45" s="7">
        <f t="shared" si="4"/>
        <v>105.07713589172747</v>
      </c>
    </row>
    <row r="47" ht="12.75">
      <c r="A47" s="6" t="s">
        <v>199</v>
      </c>
    </row>
    <row r="49" spans="1:3" ht="12.75">
      <c r="A49" t="s">
        <v>201</v>
      </c>
      <c r="B49" s="11">
        <f ca="1">(C27*Input!K11*(Input!B56-Input!B57)+OFFSET(F33,Input!B55,1,1,1)+Loads!D27*(Input!B56-Input!F32)+RadFloor!E22*(Input!B58-Input!F32))*Input!L7</f>
        <v>1746.6932423875771</v>
      </c>
      <c r="C49" t="s">
        <v>200</v>
      </c>
    </row>
    <row r="52" ht="12.75">
      <c r="A52" s="6" t="s">
        <v>203</v>
      </c>
    </row>
    <row r="54" spans="1:3" ht="12.75">
      <c r="A54" t="s">
        <v>201</v>
      </c>
      <c r="B54" s="10">
        <f ca="1">(C27*(Input!B61-Input!B62)+OFFSET(F33,Input!B60,1,1,1)+Loads!D27*(Input!B61-Input!F32))*Input!L7</f>
        <v>495.8501307613259</v>
      </c>
      <c r="C54" t="s">
        <v>200</v>
      </c>
    </row>
  </sheetData>
  <sheetProtection/>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C66"/>
  <sheetViews>
    <sheetView zoomScalePageLayoutView="0" workbookViewId="0" topLeftCell="A1">
      <selection activeCell="G9" sqref="G9"/>
    </sheetView>
  </sheetViews>
  <sheetFormatPr defaultColWidth="9.140625" defaultRowHeight="12.75"/>
  <sheetData>
    <row r="1" ht="12.75">
      <c r="A1" t="s">
        <v>67</v>
      </c>
    </row>
    <row r="2" ht="12.75">
      <c r="A2" t="s">
        <v>15</v>
      </c>
    </row>
    <row r="3" ht="12.75">
      <c r="A3" t="s">
        <v>16</v>
      </c>
    </row>
    <row r="4" ht="12.75">
      <c r="A4" t="s">
        <v>17</v>
      </c>
    </row>
    <row r="6" spans="1:2" ht="12.75">
      <c r="A6" t="s">
        <v>58</v>
      </c>
      <c r="B6">
        <f>CORC!$A$39</f>
        <v>5</v>
      </c>
    </row>
    <row r="7" spans="1:2" ht="12.75">
      <c r="A7" t="s">
        <v>55</v>
      </c>
      <c r="B7">
        <f>(Input!B11-Input!B12)+Input!B27</f>
        <v>0.8499999999999999</v>
      </c>
    </row>
    <row r="8" spans="1:2" ht="12.75">
      <c r="A8" t="s">
        <v>56</v>
      </c>
      <c r="B8">
        <f>0.1+Input!B12</f>
        <v>1.84</v>
      </c>
    </row>
    <row r="9" spans="1:2" ht="12.75">
      <c r="A9" t="s">
        <v>57</v>
      </c>
      <c r="B9">
        <f>Input!B27/0.6</f>
        <v>0</v>
      </c>
    </row>
    <row r="10" ht="12.75">
      <c r="B10">
        <f>IF(B6=99,0,B6)</f>
        <v>5</v>
      </c>
    </row>
    <row r="11" spans="1:2" ht="12.75">
      <c r="A11" t="b">
        <f>AND(($B$6=99),($B$9&lt;0.9999))</f>
        <v>0</v>
      </c>
      <c r="B11">
        <f>IF(A11,4,0)</f>
        <v>0</v>
      </c>
    </row>
    <row r="12" spans="1:2" ht="12.75">
      <c r="A12" t="b">
        <f>AND(($B$6=99),($B$9&gt;0.9999),$B$8/B7&gt;1)</f>
        <v>0</v>
      </c>
      <c r="B12">
        <f>IF(A12,5,0)</f>
        <v>0</v>
      </c>
    </row>
    <row r="13" spans="1:2" ht="12.75">
      <c r="A13" t="b">
        <f>AND(($B$6=99),($B$9&gt;0.9999),$B$8/B7&lt;=1)</f>
        <v>0</v>
      </c>
      <c r="B13">
        <f>IF(A13,3,0)</f>
        <v>0</v>
      </c>
    </row>
    <row r="15" spans="1:2" ht="12.75">
      <c r="A15" t="s">
        <v>59</v>
      </c>
      <c r="B15">
        <f>SUM(B10:B13)</f>
        <v>5</v>
      </c>
    </row>
    <row r="17" spans="1:3" ht="12.75">
      <c r="A17" t="s">
        <v>54</v>
      </c>
      <c r="B17">
        <f>IF(B6=99,B15,B6)</f>
        <v>5</v>
      </c>
      <c r="C17" t="s">
        <v>87</v>
      </c>
    </row>
    <row r="18" spans="1:3" ht="12.75">
      <c r="A18" t="s">
        <v>110</v>
      </c>
      <c r="B18">
        <f>rsi2</f>
        <v>2.04</v>
      </c>
      <c r="C18" s="3" t="s">
        <v>111</v>
      </c>
    </row>
    <row r="19" ht="12.75">
      <c r="A19" t="s">
        <v>60</v>
      </c>
    </row>
    <row r="20" spans="1:2" ht="12.75">
      <c r="A20" t="s">
        <v>61</v>
      </c>
      <c r="B20">
        <f>(a1_+b1_*(height-depth)+cc1_/soilk)/rsi1c^d1_</f>
        <v>0.29318136002921696</v>
      </c>
    </row>
    <row r="21" spans="1:2" ht="12.75">
      <c r="A21" t="s">
        <v>62</v>
      </c>
      <c r="B21">
        <f>1/(e1_+i1_*(overlp^f1_)*(rsi1c^g1_)*(height-depth)^h1_)</f>
        <v>1</v>
      </c>
    </row>
    <row r="22" spans="1:2" ht="12.75">
      <c r="A22" t="s">
        <v>63</v>
      </c>
      <c r="B22">
        <f>j1_</f>
        <v>0.075558</v>
      </c>
    </row>
    <row r="23" spans="1:2" ht="12.75">
      <c r="A23" t="s">
        <v>77</v>
      </c>
      <c r="B23">
        <f>B20*B21+B22</f>
        <v>0.368739360029217</v>
      </c>
    </row>
    <row r="24" spans="1:2" ht="12.75">
      <c r="A24" t="s">
        <v>78</v>
      </c>
      <c r="B24">
        <f>B23*2*(length+width)</f>
        <v>15.634548865238798</v>
      </c>
    </row>
    <row r="26" ht="12.75">
      <c r="A26" t="s">
        <v>82</v>
      </c>
    </row>
    <row r="27" spans="1:2" ht="12.75">
      <c r="A27" t="s">
        <v>61</v>
      </c>
      <c r="B27">
        <f>(q2_+rr2*width)*(u2_+v2_*soilk)*(w2_+x2_*depth)</f>
        <v>1.576768042004309</v>
      </c>
    </row>
    <row r="28" spans="1:2" ht="12.75">
      <c r="A28" t="s">
        <v>62</v>
      </c>
      <c r="B28">
        <f>wtable^(s2_+t2_*width+y2_*depth)</f>
        <v>2.022356027281522</v>
      </c>
    </row>
    <row r="29" spans="1:2" ht="12.75">
      <c r="A29" t="s">
        <v>63</v>
      </c>
      <c r="B29">
        <f>a2_*(depth^b2_)*(soilk^cc2_)</f>
        <v>0.7775329001123852</v>
      </c>
    </row>
    <row r="30" spans="1:2" ht="12.75">
      <c r="A30" t="s">
        <v>84</v>
      </c>
      <c r="B30">
        <f>(wtable^d2_)*(rsi1c^(e2_+f2_*soilk+g2_*depth+h2_*overlp))</f>
        <v>1.9343946413684987</v>
      </c>
    </row>
    <row r="31" spans="1:2" ht="12.75">
      <c r="A31" t="s">
        <v>85</v>
      </c>
      <c r="B31">
        <f>(B27/B28)+(B29/B30)</f>
        <v>1.1816204091580915</v>
      </c>
    </row>
    <row r="33" ht="12.75">
      <c r="A33" t="s">
        <v>86</v>
      </c>
    </row>
    <row r="34" spans="1:2" ht="12.75">
      <c r="A34" t="s">
        <v>88</v>
      </c>
      <c r="B34">
        <f>IF(depth&gt;2,2,depth)</f>
        <v>1.74</v>
      </c>
    </row>
    <row r="35" spans="1:2" ht="12.75">
      <c r="A35" t="s">
        <v>93</v>
      </c>
      <c r="B35">
        <f>IF(rsi1c&gt;5,5,rsi1c)</f>
        <v>2.04</v>
      </c>
    </row>
    <row r="36" spans="1:2" ht="12.75">
      <c r="A36" t="s">
        <v>90</v>
      </c>
      <c r="B36">
        <f>IF(width&gt;10,10,width)</f>
        <v>7.6</v>
      </c>
    </row>
    <row r="37" spans="1:2" ht="12.75">
      <c r="A37" t="s">
        <v>91</v>
      </c>
      <c r="B37">
        <f>B36/2</f>
        <v>3.8</v>
      </c>
    </row>
    <row r="38" spans="1:2" ht="12.75">
      <c r="A38" t="s">
        <v>54</v>
      </c>
      <c r="B38">
        <f>IF(B17=98,3,B17)</f>
        <v>5</v>
      </c>
    </row>
    <row r="39" spans="1:2" ht="12.75">
      <c r="A39" t="s">
        <v>89</v>
      </c>
      <c r="B39">
        <f>IF(B17=98,0,B35)</f>
        <v>2.04</v>
      </c>
    </row>
    <row r="40" spans="1:2" ht="12.75">
      <c r="A40" t="s">
        <v>92</v>
      </c>
      <c r="B40">
        <f>2*(B38-1)+1</f>
        <v>9</v>
      </c>
    </row>
    <row r="41" spans="1:2" ht="12.75">
      <c r="A41" t="s">
        <v>94</v>
      </c>
      <c r="B41">
        <f ca="1">OFFSET(CornerCF!A1,iuse,1,1,1)+OFFSET(CornerCF!A1,iuse,2,1,1)*rs+OFFSET(CornerCF!A1,iuse,3,1,1)*soilk+OFFSET(CornerCF!A1,iuse,4,1,1)*wby2+OFFSET(CornerCF!A1,iuse,5,1,1)*dept+OFFSET(CornerCF!A1,iuse,6,1,1)*wtable</f>
        <v>0.8358317404</v>
      </c>
    </row>
    <row r="42" spans="1:2" ht="12.75">
      <c r="A42" t="s">
        <v>95</v>
      </c>
      <c r="B42">
        <f ca="1">+OFFSET(CornerCF!A1,iuse,7,1,1)*rs^2+OFFSET(CornerCF!A1,iuse,8,1,1)*soilk*rs+OFFSET(CornerCF!A1,iuse,9,1,1)*wby2*rs+OFFSET(CornerCF!A1,iuse,10,1,1)*wby2*soilk+OFFSET(CornerCF!A1,iuse,11,1,1)*wby2^2</f>
        <v>0.046298600620000005</v>
      </c>
    </row>
    <row r="43" spans="1:2" ht="12.75">
      <c r="A43" t="s">
        <v>96</v>
      </c>
      <c r="B43">
        <f ca="1">OFFSET(CornerCF!A1,iuse,12,1,1)*dept*rs+OFFSET(CornerCF!A1,iuse,13,1,1)*dept*soilk+OFFSET(CornerCF!A1,iuse,14,1,1)*dept*wby2+OFFSET(CornerCF!A1,iuse,15,1,1)*dept^2</f>
        <v>-0.20764612944</v>
      </c>
    </row>
    <row r="44" spans="1:2" ht="12.75">
      <c r="A44" t="s">
        <v>97</v>
      </c>
      <c r="B44">
        <f ca="1">OFFSET(CornerCF!A1,iuse,16,1,1)*wtable*rs+OFFSET(CornerCF!A1,iuse,17,1,1)*wtable*soilk+OFFSET(CornerCF!A1,iuse,18,1,1)*wtable*wby2+OFFSET(CornerCF!A1,iuse,19,1,1)*wtable*dept</f>
        <v>0.137064256</v>
      </c>
    </row>
    <row r="45" spans="1:2" ht="12.75">
      <c r="A45" t="s">
        <v>98</v>
      </c>
      <c r="B45">
        <f>SUM(B41:B44)</f>
        <v>0.81154846758</v>
      </c>
    </row>
    <row r="46" ht="12.75">
      <c r="A46" t="s">
        <v>99</v>
      </c>
    </row>
    <row r="47" spans="1:2" ht="12.75">
      <c r="A47" t="s">
        <v>100</v>
      </c>
      <c r="B47">
        <f>B31*(2*(length-width)+4*B45*width)</f>
        <v>43.33128877222755</v>
      </c>
    </row>
    <row r="49" ht="12.75">
      <c r="A49" t="s">
        <v>101</v>
      </c>
    </row>
    <row r="50" spans="1:2" ht="12.75">
      <c r="A50" t="s">
        <v>61</v>
      </c>
      <c r="B50">
        <f>a3_+b3_*soilk+cc3_*depth</f>
        <v>0.021488199999999985</v>
      </c>
    </row>
    <row r="51" spans="1:2" ht="12.75">
      <c r="A51" t="s">
        <v>62</v>
      </c>
      <c r="B51">
        <f>e3_+f3_*soilk+g3_*depth</f>
        <v>0.5310545</v>
      </c>
    </row>
    <row r="52" spans="1:2" ht="12.75">
      <c r="A52" t="s">
        <v>63</v>
      </c>
      <c r="B52">
        <f>rsi1c^(h3_+i3_*overlp)</f>
        <v>1.5684458328677906</v>
      </c>
    </row>
    <row r="53" spans="1:2" ht="12.75">
      <c r="A53" t="s">
        <v>107</v>
      </c>
      <c r="B53">
        <f>IF(B52&gt;0,B50+B51/B52,B50)</f>
        <v>0.3600746458124161</v>
      </c>
    </row>
    <row r="54" ht="12.75">
      <c r="A54" t="s">
        <v>102</v>
      </c>
    </row>
    <row r="55" spans="1:2" ht="12.75">
      <c r="A55" t="s">
        <v>103</v>
      </c>
      <c r="B55">
        <f>2*(B38-1)+2</f>
        <v>10</v>
      </c>
    </row>
    <row r="56" spans="1:2" ht="12.75">
      <c r="A56" t="s">
        <v>94</v>
      </c>
      <c r="B56">
        <f ca="1">OFFSET(CornerCF!A1,iusev,1,1,1)+OFFSET(CornerCF!A1,iusev,2,1,1)*rs+OFFSET(CornerCF!A1,iusev,3,1,1)*soilk+OFFSET(CornerCF!A1,iusev,4,1,1)*wby2+OFFSET(CornerCF!A1,iusev,5,1,1)*dept+OFFSET(CornerCF!A1,iusev,6,1,1)*wtable</f>
        <v>1.2236069502</v>
      </c>
    </row>
    <row r="57" spans="1:2" ht="12.75">
      <c r="A57" t="s">
        <v>95</v>
      </c>
      <c r="B57">
        <f ca="1">+OFFSET(CornerCF!A1,iusev,7,1,1)*rs^2+OFFSET(CornerCF!A1,iusev,8,1,1)*soilk*rs+OFFSET(CornerCF!A1,iusev,9,1,1)*wby2*rs+OFFSET(CornerCF!A1,iusev,10,1,1)*wby2*soilk+OFFSET(CornerCF!A1,iusev,11,1,1)*wby2^2</f>
        <v>-0.0016727863320000064</v>
      </c>
    </row>
    <row r="58" spans="1:2" ht="12.75">
      <c r="A58" t="s">
        <v>96</v>
      </c>
      <c r="B58">
        <f ca="1">OFFSET(CornerCF!A1,iusev,12,1,1)*dept*rs+OFFSET(CornerCF!A1,iusev,13,1,1)*dept*soilk+OFFSET(CornerCF!A1,iusev,14,1,1)*dept*wby2+OFFSET(CornerCF!A1,iusev,15,1,1)*dept^2</f>
        <v>-0.19659886509000002</v>
      </c>
    </row>
    <row r="59" spans="1:2" ht="12.75">
      <c r="A59" t="s">
        <v>97</v>
      </c>
      <c r="B59">
        <f ca="1">OFFSET(CornerCF!A1,iusev,16,1,1)*wtable*rs+OFFSET(CornerCF!A1,iusev,17,1,1)*wtable*soilk+OFFSET(CornerCF!A1,iusev,18,1,1)*wtable*wby2+OFFSET(CornerCF!A1,iusev,19,1,1)*wtable*dept</f>
        <v>0.018380623999999998</v>
      </c>
    </row>
    <row r="60" spans="1:2" ht="12.75">
      <c r="A60" t="s">
        <v>104</v>
      </c>
      <c r="B60">
        <f>SUM(B56:B59)</f>
        <v>1.0437159227779997</v>
      </c>
    </row>
    <row r="62" ht="12.75">
      <c r="A62" t="s">
        <v>105</v>
      </c>
    </row>
    <row r="63" spans="1:2" ht="12.75">
      <c r="A63" t="s">
        <v>106</v>
      </c>
      <c r="B63">
        <f>B53*(2*(length-width)+4*width*B60)</f>
        <v>15.745691242930238</v>
      </c>
    </row>
    <row r="65" ht="12.75">
      <c r="A65" t="s">
        <v>108</v>
      </c>
    </row>
    <row r="66" spans="1:2" ht="12.75">
      <c r="A66" t="s">
        <v>109</v>
      </c>
      <c r="B66">
        <f>a4_+b4_/rsi1c^cc4_</f>
        <v>2.6576901960784314</v>
      </c>
    </row>
  </sheetData>
  <sheetProtection/>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F66"/>
  <sheetViews>
    <sheetView zoomScalePageLayoutView="0" workbookViewId="0" topLeftCell="A1">
      <selection activeCell="A13" sqref="A13"/>
    </sheetView>
  </sheetViews>
  <sheetFormatPr defaultColWidth="9.140625" defaultRowHeight="12.75"/>
  <sheetData>
    <row r="1" ht="12.75">
      <c r="A1" t="s">
        <v>67</v>
      </c>
    </row>
    <row r="2" ht="12.75">
      <c r="A2" t="s">
        <v>15</v>
      </c>
    </row>
    <row r="3" ht="12.75">
      <c r="A3" t="s">
        <v>16</v>
      </c>
    </row>
    <row r="4" ht="12.75">
      <c r="A4" t="s">
        <v>17</v>
      </c>
    </row>
    <row r="6" spans="1:2" ht="12.75">
      <c r="A6" t="s">
        <v>58</v>
      </c>
      <c r="B6">
        <f>CORC2!$A$39</f>
        <v>1</v>
      </c>
    </row>
    <row r="7" spans="1:2" ht="12.75">
      <c r="A7" t="s">
        <v>55</v>
      </c>
      <c r="B7">
        <f>(Input!B11-Input!B12)+Input!B27</f>
        <v>0.8499999999999999</v>
      </c>
    </row>
    <row r="8" spans="1:2" ht="12.75">
      <c r="A8" t="s">
        <v>56</v>
      </c>
      <c r="B8">
        <f>0.1+Input!B12</f>
        <v>1.84</v>
      </c>
    </row>
    <row r="9" spans="1:2" ht="12.75">
      <c r="A9" t="s">
        <v>57</v>
      </c>
      <c r="B9">
        <f>Input!B27/0.6</f>
        <v>0</v>
      </c>
    </row>
    <row r="10" ht="12.75">
      <c r="B10">
        <f>IF(B6=99,0,B6)</f>
        <v>1</v>
      </c>
    </row>
    <row r="11" spans="1:2" ht="12.75">
      <c r="A11" t="b">
        <f>AND(($B$6=99),($B$9&lt;0.9999))</f>
        <v>0</v>
      </c>
      <c r="B11">
        <f>IF(A11,4,0)</f>
        <v>0</v>
      </c>
    </row>
    <row r="12" spans="1:2" ht="12.75">
      <c r="A12" t="b">
        <f>AND(($B$6=99),($B$9&gt;0.9999),$B$8/B7&gt;1)</f>
        <v>0</v>
      </c>
      <c r="B12">
        <f>IF(A12,5,0)</f>
        <v>0</v>
      </c>
    </row>
    <row r="13" spans="1:2" ht="12.75">
      <c r="A13" t="b">
        <f>AND(($B$6=99),($B$9&gt;0.9999),$B$8/B7&lt;=1)</f>
        <v>0</v>
      </c>
      <c r="B13">
        <f>IF(A13,3,0)</f>
        <v>0</v>
      </c>
    </row>
    <row r="15" spans="1:2" ht="12.75">
      <c r="A15" t="s">
        <v>59</v>
      </c>
      <c r="B15">
        <f>SUM(B10:B13)</f>
        <v>1</v>
      </c>
    </row>
    <row r="17" spans="1:2" ht="12.75">
      <c r="A17" t="s">
        <v>54</v>
      </c>
      <c r="B17">
        <f>IF(B6=99,B15,B6)</f>
        <v>1</v>
      </c>
    </row>
    <row r="18" spans="1:3" ht="12.75">
      <c r="A18" t="s">
        <v>110</v>
      </c>
      <c r="B18">
        <v>0.001</v>
      </c>
      <c r="C18" s="3" t="s">
        <v>113</v>
      </c>
    </row>
    <row r="19" ht="12.75">
      <c r="A19" t="s">
        <v>60</v>
      </c>
    </row>
    <row r="20" spans="1:3" ht="12.75">
      <c r="A20" t="s">
        <v>61</v>
      </c>
      <c r="B20">
        <f>(T2a1+T2b1*(height-depth)+T2cc1/soilk)</f>
        <v>1.320241176470588</v>
      </c>
      <c r="C20" t="s">
        <v>153</v>
      </c>
    </row>
    <row r="21" spans="1:2" ht="12.75">
      <c r="A21" t="s">
        <v>62</v>
      </c>
      <c r="B21">
        <f>1/(T2e1+T2i1*(overlp^T2f1)*(rsi1c^T2g1)*(height-depth)^T2h1)</f>
        <v>1</v>
      </c>
    </row>
    <row r="22" spans="1:2" ht="12.75">
      <c r="A22" t="s">
        <v>63</v>
      </c>
      <c r="B22">
        <f>T2j1</f>
        <v>0</v>
      </c>
    </row>
    <row r="23" spans="1:2" ht="12.75">
      <c r="A23" t="s">
        <v>77</v>
      </c>
      <c r="B23">
        <f>B20*B21+B22</f>
        <v>1.320241176470588</v>
      </c>
    </row>
    <row r="24" spans="1:2" ht="12.75">
      <c r="A24" t="s">
        <v>78</v>
      </c>
      <c r="B24">
        <f>B23*2*(length+width)</f>
        <v>55.97822588235292</v>
      </c>
    </row>
    <row r="26" spans="1:6" ht="12.75">
      <c r="A26" t="s">
        <v>82</v>
      </c>
      <c r="F26" t="s">
        <v>154</v>
      </c>
    </row>
    <row r="27" spans="1:2" ht="12.75">
      <c r="A27" t="s">
        <v>61</v>
      </c>
      <c r="B27">
        <f>(T2q2+T2rr2*width)*(T2u2+T2v2*soilk)*(T2w2+T2x2*depth)</f>
        <v>2.885757511999999</v>
      </c>
    </row>
    <row r="28" spans="1:2" ht="12.75">
      <c r="A28" t="s">
        <v>62</v>
      </c>
      <c r="B28">
        <f>wtable^(T2s2+T2t2*width+T2y2*depth)</f>
        <v>1.4893161089502815</v>
      </c>
    </row>
    <row r="29" spans="1:2" ht="12.75">
      <c r="A29" t="s">
        <v>63</v>
      </c>
      <c r="B29">
        <f>T2a2*(depth^T2b2)*(soilk^T2cc2)</f>
        <v>0</v>
      </c>
    </row>
    <row r="30" spans="1:3" ht="12.75">
      <c r="A30" t="s">
        <v>84</v>
      </c>
      <c r="B30">
        <f>(wtable^T2d2)</f>
        <v>1</v>
      </c>
      <c r="C30" t="s">
        <v>155</v>
      </c>
    </row>
    <row r="31" spans="1:2" ht="12.75">
      <c r="A31" t="s">
        <v>85</v>
      </c>
      <c r="B31">
        <f>(B27/B28)+(B29/B30)</f>
        <v>1.9376393598763764</v>
      </c>
    </row>
    <row r="33" ht="12.75">
      <c r="A33" t="s">
        <v>86</v>
      </c>
    </row>
    <row r="34" spans="1:2" ht="12.75">
      <c r="A34" t="s">
        <v>88</v>
      </c>
      <c r="B34">
        <f>IF(depth&gt;2,2,depth)</f>
        <v>1.74</v>
      </c>
    </row>
    <row r="35" spans="1:2" ht="12.75">
      <c r="A35" t="s">
        <v>93</v>
      </c>
      <c r="B35">
        <v>0</v>
      </c>
    </row>
    <row r="36" spans="1:2" ht="12.75">
      <c r="A36" t="s">
        <v>90</v>
      </c>
      <c r="B36">
        <f>IF(width&gt;10,10,width)</f>
        <v>7.6</v>
      </c>
    </row>
    <row r="37" spans="1:2" ht="12.75">
      <c r="A37" t="s">
        <v>91</v>
      </c>
      <c r="B37">
        <f>B36/2</f>
        <v>3.8</v>
      </c>
    </row>
    <row r="38" spans="1:2" ht="12.75">
      <c r="A38" t="s">
        <v>54</v>
      </c>
      <c r="B38">
        <f>IF(B17=98,3,B17)</f>
        <v>1</v>
      </c>
    </row>
    <row r="39" spans="1:2" ht="12.75">
      <c r="A39" t="s">
        <v>89</v>
      </c>
      <c r="B39">
        <f>IF(B17=98,0,B35)</f>
        <v>0</v>
      </c>
    </row>
    <row r="40" spans="1:2" ht="12.75">
      <c r="A40" t="s">
        <v>92</v>
      </c>
      <c r="B40">
        <f>2*(B38-1)+1</f>
        <v>1</v>
      </c>
    </row>
    <row r="41" spans="1:2" ht="12.75">
      <c r="A41" t="s">
        <v>94</v>
      </c>
      <c r="B41">
        <f ca="1">OFFSET(CornerCF!A1,iuse,1,1,1)+OFFSET(CornerCF!A1,iuse,2,1,1)*rs+OFFSET(CornerCF!A1,iuse,3,1,1)*soilk+OFFSET(CornerCF!A1,iuse,4,1,1)*wby2+OFFSET(CornerCF!A1,iuse,5,1,1)*dept+OFFSET(CornerCF!A1,iuse,6,1,1)*wtable</f>
        <v>1.0882435044</v>
      </c>
    </row>
    <row r="42" spans="1:2" ht="12.75">
      <c r="A42" t="s">
        <v>95</v>
      </c>
      <c r="B42">
        <f ca="1">+OFFSET(CornerCF!A1,iuse,7,1,1)*rs^2+OFFSET(CornerCF!A1,iuse,8,1,1)*soilk*rs+OFFSET(CornerCF!A1,iuse,9,1,1)*wby2*rs+OFFSET(CornerCF!A1,iuse,10,1,1)*wby2*soilk+OFFSET(CornerCF!A1,iuse,11,1,1)*wby2^2</f>
        <v>-0.048587617</v>
      </c>
    </row>
    <row r="43" spans="1:2" ht="12.75">
      <c r="A43" t="s">
        <v>96</v>
      </c>
      <c r="B43">
        <f ca="1">OFFSET(CornerCF!A1,iuse,12,1,1)*dept*rs+OFFSET(CornerCF!A1,iuse,13,1,1)*dept*soilk+OFFSET(CornerCF!A1,iuse,14,1,1)*dept*wby2+OFFSET(CornerCF!A1,iuse,15,1,1)*dept^2</f>
        <v>-0.24207982812</v>
      </c>
    </row>
    <row r="44" spans="1:2" ht="12.75">
      <c r="A44" t="s">
        <v>97</v>
      </c>
      <c r="B44">
        <f ca="1">OFFSET(CornerCF!A1,iuse,16,1,1)*wtable*rs+OFFSET(CornerCF!A1,iuse,17,1,1)*wtable*soilk+OFFSET(CornerCF!A1,iuse,18,1,1)*wtable*wby2+OFFSET(CornerCF!A1,iuse,19,1,1)*wtable*dept</f>
        <v>0.10667368560000001</v>
      </c>
    </row>
    <row r="45" spans="1:2" ht="12.75">
      <c r="A45" t="s">
        <v>98</v>
      </c>
      <c r="B45">
        <f>SUM(B41:B44)</f>
        <v>0.9042497448800001</v>
      </c>
    </row>
    <row r="46" ht="12.75">
      <c r="A46" t="s">
        <v>99</v>
      </c>
    </row>
    <row r="47" spans="1:2" ht="12.75">
      <c r="A47" t="s">
        <v>100</v>
      </c>
      <c r="B47">
        <f>B31*(2*(length-width)+4*B45*width)</f>
        <v>76.51581318238136</v>
      </c>
    </row>
    <row r="49" ht="12.75">
      <c r="A49" t="s">
        <v>101</v>
      </c>
    </row>
    <row r="50" spans="1:2" ht="12.75">
      <c r="A50" t="s">
        <v>61</v>
      </c>
      <c r="B50">
        <f>T2a3+T2b3*soilk+T2cc3*depth</f>
        <v>0.9863599999999999</v>
      </c>
    </row>
    <row r="51" spans="1:2" ht="12.75">
      <c r="A51" t="s">
        <v>62</v>
      </c>
      <c r="B51">
        <f>T2e3+T2f3*soilk+T2g3*depth</f>
        <v>0</v>
      </c>
    </row>
    <row r="52" spans="1:2" ht="12.75">
      <c r="A52" t="s">
        <v>63</v>
      </c>
      <c r="B52">
        <f>rsi1c^(T2h3+T2i3*overlp)</f>
        <v>1</v>
      </c>
    </row>
    <row r="53" spans="1:2" ht="12.75">
      <c r="A53" t="s">
        <v>107</v>
      </c>
      <c r="B53">
        <f>IF(B52&gt;0,B50+B51/B52,B50)</f>
        <v>0.9863599999999999</v>
      </c>
    </row>
    <row r="54" ht="12.75">
      <c r="A54" t="s">
        <v>102</v>
      </c>
    </row>
    <row r="55" spans="1:2" ht="12.75">
      <c r="A55" t="s">
        <v>103</v>
      </c>
      <c r="B55">
        <f>2*(B38-1)+2</f>
        <v>2</v>
      </c>
    </row>
    <row r="56" spans="1:2" ht="12.75">
      <c r="A56" t="s">
        <v>94</v>
      </c>
      <c r="B56">
        <f ca="1">OFFSET(CornerCF!A1,iusev,1,1,1)+OFFSET(CornerCF!A1,iusev,2,1,1)*rs+OFFSET(CornerCF!A1,iusev,3,1,1)*soilk+OFFSET(CornerCF!A1,iusev,4,1,1)*wby2+OFFSET(CornerCF!A1,iusev,5,1,1)*dept+OFFSET(CornerCF!A1,iusev,6,1,1)*wtable</f>
        <v>1.2691491916</v>
      </c>
    </row>
    <row r="57" spans="1:2" ht="12.75">
      <c r="A57" t="s">
        <v>95</v>
      </c>
      <c r="B57">
        <f ca="1">+OFFSET(CornerCF!A1,iusev,7,1,1)*rs^2+OFFSET(CornerCF!A1,iusev,8,1,1)*soilk*rs+OFFSET(CornerCF!A1,iusev,9,1,1)*wby2*rs+OFFSET(CornerCF!A1,iusev,10,1,1)*wby2*soilk+OFFSET(CornerCF!A1,iusev,11,1,1)*wby2^2</f>
        <v>-0.061435204199999996</v>
      </c>
    </row>
    <row r="58" spans="1:2" ht="12.75">
      <c r="A58" t="s">
        <v>96</v>
      </c>
      <c r="B58">
        <f ca="1">OFFSET(CornerCF!A1,iusev,12,1,1)*dept*rs+OFFSET(CornerCF!A1,iusev,13,1,1)*dept*soilk+OFFSET(CornerCF!A1,iusev,14,1,1)*dept*wby2+OFFSET(CornerCF!A1,iusev,15,1,1)*dept^2</f>
        <v>-0.22337752077</v>
      </c>
    </row>
    <row r="59" spans="1:2" ht="12.75">
      <c r="A59" t="s">
        <v>97</v>
      </c>
      <c r="B59">
        <f ca="1">OFFSET(CornerCF!A1,iusev,16,1,1)*wtable*rs+OFFSET(CornerCF!A1,iusev,17,1,1)*wtable*soilk+OFFSET(CornerCF!A1,iusev,18,1,1)*wtable*wby2+OFFSET(CornerCF!A1,iusev,19,1,1)*wtable*dept</f>
        <v>0.024212739199999996</v>
      </c>
    </row>
    <row r="60" spans="1:2" ht="12.75">
      <c r="A60" t="s">
        <v>104</v>
      </c>
      <c r="B60">
        <f>SUM(B56:B59)</f>
        <v>1.00854920583</v>
      </c>
    </row>
    <row r="62" ht="12.75">
      <c r="A62" t="s">
        <v>105</v>
      </c>
    </row>
    <row r="63" spans="1:2" ht="12.75">
      <c r="A63" t="s">
        <v>106</v>
      </c>
      <c r="B63">
        <f>B53*(2*(length-width)+4*width*B60)</f>
        <v>42.078014877739356</v>
      </c>
    </row>
    <row r="65" ht="12.75">
      <c r="A65" t="s">
        <v>108</v>
      </c>
    </row>
    <row r="66" spans="1:2" ht="12.75">
      <c r="A66" t="s">
        <v>109</v>
      </c>
      <c r="B66">
        <f>T2a4+T2b4/rsi1c^T2cc4</f>
        <v>2.983</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C60"/>
  <sheetViews>
    <sheetView zoomScalePageLayoutView="0" workbookViewId="0" topLeftCell="A26">
      <selection activeCell="C52" sqref="C52"/>
    </sheetView>
  </sheetViews>
  <sheetFormatPr defaultColWidth="9.140625" defaultRowHeight="12.75"/>
  <sheetData>
    <row r="1" spans="1:3" ht="12.75">
      <c r="A1">
        <v>-0.03088</v>
      </c>
      <c r="B1" t="s">
        <v>18</v>
      </c>
      <c r="C1" t="str">
        <f>Input!A3</f>
        <v>(Based on test house file F280_BWEB4.HSE)</v>
      </c>
    </row>
    <row r="2" spans="1:3" ht="12.75">
      <c r="A2">
        <v>0.65054</v>
      </c>
      <c r="B2" t="s">
        <v>19</v>
      </c>
      <c r="C2" t="s">
        <v>15</v>
      </c>
    </row>
    <row r="3" spans="1:3" ht="12.75">
      <c r="A3">
        <v>-4.5E-05</v>
      </c>
      <c r="B3" t="s">
        <v>68</v>
      </c>
      <c r="C3" t="s">
        <v>16</v>
      </c>
    </row>
    <row r="4" spans="1:3" ht="12.75">
      <c r="A4">
        <v>0.80921</v>
      </c>
      <c r="B4" t="s">
        <v>20</v>
      </c>
      <c r="C4" t="s">
        <v>17</v>
      </c>
    </row>
    <row r="5" spans="1:2" ht="12.75">
      <c r="A5">
        <v>1</v>
      </c>
      <c r="B5" t="s">
        <v>21</v>
      </c>
    </row>
    <row r="6" spans="1:2" ht="12.75">
      <c r="A6">
        <v>1</v>
      </c>
      <c r="B6" t="s">
        <v>22</v>
      </c>
    </row>
    <row r="7" spans="1:2" ht="12.75">
      <c r="A7">
        <v>1</v>
      </c>
      <c r="B7" t="s">
        <v>23</v>
      </c>
    </row>
    <row r="8" spans="1:2" ht="12.75">
      <c r="A8">
        <v>1</v>
      </c>
      <c r="B8" t="s">
        <v>24</v>
      </c>
    </row>
    <row r="9" spans="1:2" ht="12.75">
      <c r="A9">
        <v>0</v>
      </c>
      <c r="B9" t="s">
        <v>25</v>
      </c>
    </row>
    <row r="10" spans="1:2" ht="12.75">
      <c r="A10">
        <v>0.075558</v>
      </c>
      <c r="B10" t="s">
        <v>26</v>
      </c>
    </row>
    <row r="11" spans="1:2" ht="12.75">
      <c r="A11">
        <v>-0.057123</v>
      </c>
      <c r="B11" t="s">
        <v>27</v>
      </c>
    </row>
    <row r="12" spans="1:2" ht="12.75">
      <c r="A12">
        <v>0.10777</v>
      </c>
      <c r="B12" t="s">
        <v>72</v>
      </c>
    </row>
    <row r="13" spans="1:2" ht="12.75">
      <c r="A13">
        <v>0.54035</v>
      </c>
      <c r="B13" t="s">
        <v>28</v>
      </c>
    </row>
    <row r="14" spans="1:2" ht="12.75">
      <c r="A14">
        <v>0.62</v>
      </c>
      <c r="B14" t="s">
        <v>29</v>
      </c>
    </row>
    <row r="15" spans="1:2" ht="12.75">
      <c r="A15">
        <v>1.06886</v>
      </c>
      <c r="B15" t="s">
        <v>30</v>
      </c>
    </row>
    <row r="16" spans="1:2" ht="12.75">
      <c r="A16">
        <v>0.5</v>
      </c>
      <c r="B16" t="s">
        <v>31</v>
      </c>
    </row>
    <row r="17" spans="1:2" ht="12.75">
      <c r="A17">
        <v>-0.040303</v>
      </c>
      <c r="B17" t="s">
        <v>32</v>
      </c>
    </row>
    <row r="18" spans="1:2" ht="12.75">
      <c r="A18">
        <v>0.019384</v>
      </c>
      <c r="B18" t="s">
        <v>33</v>
      </c>
    </row>
    <row r="19" spans="1:2" ht="12.75">
      <c r="A19">
        <v>0.13314</v>
      </c>
      <c r="B19" t="s">
        <v>34</v>
      </c>
    </row>
    <row r="20" spans="1:2" ht="12.75">
      <c r="A20">
        <v>0.5397</v>
      </c>
      <c r="B20" t="s">
        <v>35</v>
      </c>
    </row>
    <row r="21" spans="1:2" ht="12.75">
      <c r="A21">
        <v>0.75659</v>
      </c>
      <c r="B21" t="s">
        <v>36</v>
      </c>
    </row>
    <row r="22" spans="1:2" ht="12.75">
      <c r="A22">
        <v>0.33197</v>
      </c>
      <c r="B22" t="s">
        <v>69</v>
      </c>
    </row>
    <row r="23" spans="1:2" ht="12.75">
      <c r="A23">
        <v>0.069257</v>
      </c>
      <c r="B23" t="s">
        <v>37</v>
      </c>
    </row>
    <row r="24" spans="1:2" ht="12.75">
      <c r="A24">
        <v>1.0182</v>
      </c>
      <c r="B24" t="s">
        <v>38</v>
      </c>
    </row>
    <row r="25" spans="1:2" ht="12.75">
      <c r="A25">
        <v>0.10358</v>
      </c>
      <c r="B25" t="s">
        <v>39</v>
      </c>
    </row>
    <row r="26" spans="1:2" ht="12.75">
      <c r="A26">
        <v>-0.22</v>
      </c>
      <c r="B26" t="s">
        <v>40</v>
      </c>
    </row>
    <row r="27" spans="1:2" ht="12.75">
      <c r="A27">
        <v>0</v>
      </c>
      <c r="B27" t="s">
        <v>41</v>
      </c>
    </row>
    <row r="28" spans="1:2" ht="12.75">
      <c r="A28">
        <v>0.08016</v>
      </c>
      <c r="B28" t="s">
        <v>42</v>
      </c>
    </row>
    <row r="29" spans="1:2" ht="12.75">
      <c r="A29">
        <v>0.1</v>
      </c>
      <c r="B29" t="s">
        <v>43</v>
      </c>
    </row>
    <row r="30" spans="1:2" ht="12.75">
      <c r="A30">
        <v>-0.08257</v>
      </c>
      <c r="B30" t="s">
        <v>70</v>
      </c>
    </row>
    <row r="31" spans="1:2" ht="12.75">
      <c r="A31">
        <v>0.01867</v>
      </c>
      <c r="B31" t="s">
        <v>44</v>
      </c>
    </row>
    <row r="32" spans="1:2" ht="12.75">
      <c r="A32">
        <v>0.09145</v>
      </c>
      <c r="B32" t="s">
        <v>45</v>
      </c>
    </row>
    <row r="33" spans="1:2" ht="12.75">
      <c r="A33">
        <v>0.2498</v>
      </c>
      <c r="B33" t="s">
        <v>46</v>
      </c>
    </row>
    <row r="34" spans="1:2" ht="12.75">
      <c r="A34">
        <v>0.6313</v>
      </c>
      <c r="B34" t="s">
        <v>47</v>
      </c>
    </row>
    <row r="35" spans="1:2" ht="12.75">
      <c r="A35">
        <v>0</v>
      </c>
      <c r="B35" t="s">
        <v>48</v>
      </c>
    </row>
    <row r="36" spans="1:2" ht="12.75">
      <c r="A36">
        <v>2.3262</v>
      </c>
      <c r="B36" t="s">
        <v>49</v>
      </c>
    </row>
    <row r="37" spans="1:2" ht="12.75">
      <c r="A37">
        <v>0.67624</v>
      </c>
      <c r="B37" t="s">
        <v>50</v>
      </c>
    </row>
    <row r="38" spans="1:2" ht="12.75">
      <c r="A38">
        <v>1</v>
      </c>
      <c r="B38" t="s">
        <v>71</v>
      </c>
    </row>
    <row r="39" spans="1:2" ht="12.75">
      <c r="A39">
        <v>5</v>
      </c>
      <c r="B39" t="s">
        <v>51</v>
      </c>
    </row>
    <row r="40" spans="1:3" ht="12.75">
      <c r="A40">
        <v>13</v>
      </c>
      <c r="B40" t="s">
        <v>215</v>
      </c>
      <c r="C40" t="s">
        <v>235</v>
      </c>
    </row>
    <row r="41" spans="1:3" ht="12.75">
      <c r="A41">
        <v>47</v>
      </c>
      <c r="B41" t="s">
        <v>216</v>
      </c>
      <c r="C41" t="s">
        <v>236</v>
      </c>
    </row>
    <row r="42" spans="1:3" ht="12.75">
      <c r="A42">
        <v>1</v>
      </c>
      <c r="B42" t="s">
        <v>217</v>
      </c>
      <c r="C42" t="s">
        <v>230</v>
      </c>
    </row>
    <row r="43" spans="1:3" ht="12.75">
      <c r="A43">
        <v>1</v>
      </c>
      <c r="B43" t="s">
        <v>218</v>
      </c>
      <c r="C43" t="s">
        <v>231</v>
      </c>
    </row>
    <row r="44" spans="1:3" ht="12.75">
      <c r="A44">
        <v>0</v>
      </c>
      <c r="B44" t="s">
        <v>219</v>
      </c>
      <c r="C44" t="s">
        <v>232</v>
      </c>
    </row>
    <row r="45" spans="1:3" ht="12.75">
      <c r="A45">
        <v>1</v>
      </c>
      <c r="B45" t="s">
        <v>220</v>
      </c>
      <c r="C45" t="s">
        <v>233</v>
      </c>
    </row>
    <row r="46" spans="1:3" ht="12.75">
      <c r="A46">
        <v>1</v>
      </c>
      <c r="B46" t="s">
        <v>221</v>
      </c>
      <c r="C46" t="s">
        <v>234</v>
      </c>
    </row>
    <row r="47" spans="1:3" ht="12.75">
      <c r="A47">
        <v>0</v>
      </c>
      <c r="B47" t="s">
        <v>222</v>
      </c>
      <c r="C47" t="s">
        <v>225</v>
      </c>
    </row>
    <row r="48" spans="1:3" ht="12.75">
      <c r="A48">
        <v>1</v>
      </c>
      <c r="B48" t="s">
        <v>223</v>
      </c>
      <c r="C48" t="s">
        <v>226</v>
      </c>
    </row>
    <row r="49" spans="1:3" ht="12.75">
      <c r="A49">
        <v>1</v>
      </c>
      <c r="B49" t="s">
        <v>224</v>
      </c>
      <c r="C49" t="s">
        <v>227</v>
      </c>
    </row>
    <row r="51" ht="12.75">
      <c r="A51" t="s">
        <v>228</v>
      </c>
    </row>
    <row r="52" spans="1:3" ht="12.75">
      <c r="A52" t="b">
        <f>AND($A$47&lt;1,$A$48&lt;1)</f>
        <v>0</v>
      </c>
      <c r="B52">
        <f>IF(A52,1,0)</f>
        <v>0</v>
      </c>
      <c r="C52" t="s">
        <v>268</v>
      </c>
    </row>
    <row r="53" spans="1:3" ht="12.75">
      <c r="A53" t="b">
        <f>AND($A$47&lt;1,$A$48&gt;0,A49&lt;1)</f>
        <v>0</v>
      </c>
      <c r="B53">
        <f>IF(A53,2,0)</f>
        <v>0</v>
      </c>
      <c r="C53" t="s">
        <v>256</v>
      </c>
    </row>
    <row r="54" spans="1:3" ht="12.75">
      <c r="A54" t="b">
        <f>AND($A$47&lt;1,$A$48&gt;0,A49&gt;0)</f>
        <v>1</v>
      </c>
      <c r="B54">
        <f>IF(A54,3,0)</f>
        <v>3</v>
      </c>
      <c r="C54" t="s">
        <v>262</v>
      </c>
    </row>
    <row r="55" spans="1:3" ht="12.75">
      <c r="A55" t="b">
        <f>AND($A$47&gt;0,$A$48&gt;0,A49&lt;1)</f>
        <v>0</v>
      </c>
      <c r="B55">
        <f>IF(A55,4,0)</f>
        <v>0</v>
      </c>
      <c r="C55" t="s">
        <v>257</v>
      </c>
    </row>
    <row r="56" spans="1:3" ht="12.75">
      <c r="A56" t="b">
        <f>AND($A$47&gt;0,$A$48&lt;1,A49&lt;1)</f>
        <v>0</v>
      </c>
      <c r="B56">
        <f>IF(A56,2,0)</f>
        <v>0</v>
      </c>
      <c r="C56" t="s">
        <v>258</v>
      </c>
    </row>
    <row r="57" spans="1:3" ht="12.75">
      <c r="A57" t="b">
        <f>AND($A$47&gt;0,$A$48&lt;1,A49&gt;0)</f>
        <v>0</v>
      </c>
      <c r="B57">
        <f>IF(A57,3,0)</f>
        <v>0</v>
      </c>
      <c r="C57" t="s">
        <v>263</v>
      </c>
    </row>
    <row r="58" spans="1:3" ht="12.75">
      <c r="A58" t="b">
        <f>AND($A$47&gt;0,$A$48&gt;0,$A$49&gt;0)</f>
        <v>0</v>
      </c>
      <c r="B58">
        <f>IF(A58,5,0)</f>
        <v>0</v>
      </c>
      <c r="C58" t="s">
        <v>267</v>
      </c>
    </row>
    <row r="60" spans="2:3" ht="12.75">
      <c r="B60">
        <f>SUM(B52:B58)</f>
        <v>3</v>
      </c>
      <c r="C60" t="s">
        <v>229</v>
      </c>
    </row>
  </sheetData>
  <sheetProtection/>
  <printOptions/>
  <pageMargins left="0.75" right="0.75" top="1" bottom="1" header="0.5" footer="0.5"/>
  <pageSetup orientation="portrait" paperSize="9"/>
  <ignoredErrors>
    <ignoredError sqref="B53" formula="1"/>
  </ignoredErrors>
  <legacyDrawing r:id="rId2"/>
</worksheet>
</file>

<file path=xl/worksheets/sheet6.xml><?xml version="1.0" encoding="utf-8"?>
<worksheet xmlns="http://schemas.openxmlformats.org/spreadsheetml/2006/main" xmlns:r="http://schemas.openxmlformats.org/officeDocument/2006/relationships">
  <dimension ref="A1:C49"/>
  <sheetViews>
    <sheetView zoomScalePageLayoutView="0" workbookViewId="0" topLeftCell="A1">
      <selection activeCell="C1" sqref="C1"/>
    </sheetView>
  </sheetViews>
  <sheetFormatPr defaultColWidth="9.140625" defaultRowHeight="12.75"/>
  <sheetData>
    <row r="1" spans="1:2" ht="12.75">
      <c r="A1">
        <v>-0.018</v>
      </c>
      <c r="B1" t="s">
        <v>114</v>
      </c>
    </row>
    <row r="2" spans="1:3" ht="12.75">
      <c r="A2">
        <v>1.57</v>
      </c>
      <c r="B2" t="s">
        <v>115</v>
      </c>
      <c r="C2" t="s">
        <v>15</v>
      </c>
    </row>
    <row r="3" spans="1:3" ht="12.75">
      <c r="A3">
        <v>0.00318</v>
      </c>
      <c r="B3" t="s">
        <v>116</v>
      </c>
      <c r="C3" t="s">
        <v>16</v>
      </c>
    </row>
    <row r="4" spans="1:3" ht="12.75">
      <c r="A4">
        <v>0</v>
      </c>
      <c r="B4" t="s">
        <v>117</v>
      </c>
      <c r="C4" t="s">
        <v>17</v>
      </c>
    </row>
    <row r="5" spans="1:2" ht="12.75">
      <c r="A5">
        <v>1</v>
      </c>
      <c r="B5" t="s">
        <v>118</v>
      </c>
    </row>
    <row r="6" spans="1:2" ht="12.75">
      <c r="A6">
        <v>1</v>
      </c>
      <c r="B6" t="s">
        <v>119</v>
      </c>
    </row>
    <row r="7" spans="1:3" ht="12.75">
      <c r="A7">
        <v>1</v>
      </c>
      <c r="B7" t="s">
        <v>120</v>
      </c>
      <c r="C7" t="s">
        <v>265</v>
      </c>
    </row>
    <row r="8" spans="1:2" ht="12.75">
      <c r="A8">
        <v>1</v>
      </c>
      <c r="B8" t="s">
        <v>121</v>
      </c>
    </row>
    <row r="9" spans="1:2" ht="12.75">
      <c r="A9">
        <v>0</v>
      </c>
      <c r="B9" t="s">
        <v>122</v>
      </c>
    </row>
    <row r="10" spans="1:2" ht="12.75">
      <c r="A10">
        <v>0</v>
      </c>
      <c r="B10" t="s">
        <v>123</v>
      </c>
    </row>
    <row r="11" spans="1:2" ht="12.75">
      <c r="A11">
        <v>0.612</v>
      </c>
      <c r="B11" t="s">
        <v>124</v>
      </c>
    </row>
    <row r="12" spans="1:2" ht="12.75">
      <c r="A12">
        <v>0.125</v>
      </c>
      <c r="B12" t="s">
        <v>125</v>
      </c>
    </row>
    <row r="13" spans="1:2" ht="12.75">
      <c r="A13">
        <v>0.741</v>
      </c>
      <c r="B13" t="s">
        <v>126</v>
      </c>
    </row>
    <row r="14" spans="1:2" ht="12.75">
      <c r="A14">
        <v>0.62</v>
      </c>
      <c r="B14" t="s">
        <v>127</v>
      </c>
    </row>
    <row r="15" spans="1:2" ht="12.75">
      <c r="A15">
        <v>0.587</v>
      </c>
      <c r="B15" t="s">
        <v>128</v>
      </c>
    </row>
    <row r="16" spans="1:2" ht="12.75">
      <c r="A16">
        <v>0.5</v>
      </c>
      <c r="B16" t="s">
        <v>129</v>
      </c>
    </row>
    <row r="17" spans="1:2" ht="12.75">
      <c r="A17">
        <v>-0.0476</v>
      </c>
      <c r="B17" t="s">
        <v>130</v>
      </c>
    </row>
    <row r="18" spans="1:2" ht="12.75">
      <c r="A18">
        <v>0.0167</v>
      </c>
      <c r="B18" t="s">
        <v>131</v>
      </c>
    </row>
    <row r="19" spans="1:2" ht="12.75">
      <c r="A19">
        <v>0.0645</v>
      </c>
      <c r="B19" t="s">
        <v>132</v>
      </c>
    </row>
    <row r="20" spans="1:2" ht="12.75">
      <c r="A20">
        <v>0</v>
      </c>
      <c r="B20" t="s">
        <v>133</v>
      </c>
    </row>
    <row r="21" spans="1:2" ht="12.75">
      <c r="A21">
        <v>0</v>
      </c>
      <c r="B21" t="s">
        <v>134</v>
      </c>
    </row>
    <row r="22" spans="1:2" ht="12.75">
      <c r="A22">
        <v>0</v>
      </c>
      <c r="B22" t="s">
        <v>135</v>
      </c>
    </row>
    <row r="23" spans="1:2" ht="12.75">
      <c r="A23">
        <v>0</v>
      </c>
      <c r="B23" t="s">
        <v>136</v>
      </c>
    </row>
    <row r="24" spans="1:2" ht="12.75">
      <c r="A24">
        <v>0</v>
      </c>
      <c r="B24" t="s">
        <v>137</v>
      </c>
    </row>
    <row r="25" spans="1:2" ht="12.75">
      <c r="A25">
        <v>0</v>
      </c>
      <c r="B25" t="s">
        <v>138</v>
      </c>
    </row>
    <row r="26" spans="1:2" ht="12.75">
      <c r="A26">
        <v>0</v>
      </c>
      <c r="B26" t="s">
        <v>139</v>
      </c>
    </row>
    <row r="27" spans="1:2" ht="12.75">
      <c r="A27">
        <v>0</v>
      </c>
      <c r="B27" t="s">
        <v>140</v>
      </c>
    </row>
    <row r="28" spans="1:2" ht="12.75">
      <c r="A28">
        <v>0.159</v>
      </c>
      <c r="B28" t="s">
        <v>141</v>
      </c>
    </row>
    <row r="29" spans="1:2" ht="12.75">
      <c r="A29">
        <v>0.392</v>
      </c>
      <c r="B29" t="s">
        <v>142</v>
      </c>
    </row>
    <row r="30" spans="1:2" ht="12.75">
      <c r="A30">
        <v>0.284</v>
      </c>
      <c r="B30" t="s">
        <v>143</v>
      </c>
    </row>
    <row r="31" spans="1:2" ht="12.75">
      <c r="A31">
        <v>0</v>
      </c>
      <c r="B31" t="s">
        <v>144</v>
      </c>
    </row>
    <row r="32" spans="1:2" ht="12.75">
      <c r="A32">
        <v>0</v>
      </c>
      <c r="B32" t="s">
        <v>145</v>
      </c>
    </row>
    <row r="33" spans="1:2" ht="12.75">
      <c r="A33">
        <v>0</v>
      </c>
      <c r="B33" t="s">
        <v>146</v>
      </c>
    </row>
    <row r="34" spans="1:2" ht="12.75">
      <c r="A34">
        <v>0</v>
      </c>
      <c r="B34" t="s">
        <v>147</v>
      </c>
    </row>
    <row r="35" spans="1:2" ht="12.75">
      <c r="A35">
        <v>0</v>
      </c>
      <c r="B35" t="s">
        <v>148</v>
      </c>
    </row>
    <row r="36" spans="1:2" ht="12.75">
      <c r="A36">
        <v>2.983</v>
      </c>
      <c r="B36" t="s">
        <v>149</v>
      </c>
    </row>
    <row r="37" spans="1:2" ht="12.75">
      <c r="A37">
        <v>0</v>
      </c>
      <c r="B37" t="s">
        <v>150</v>
      </c>
    </row>
    <row r="38" spans="1:2" ht="12.75">
      <c r="A38">
        <v>0</v>
      </c>
      <c r="B38" t="s">
        <v>151</v>
      </c>
    </row>
    <row r="39" spans="1:2" ht="12.75">
      <c r="A39">
        <v>1</v>
      </c>
      <c r="B39" t="s">
        <v>152</v>
      </c>
    </row>
    <row r="40" ht="12.75">
      <c r="A40">
        <v>0</v>
      </c>
    </row>
    <row r="41" ht="12.75">
      <c r="A41">
        <v>28</v>
      </c>
    </row>
    <row r="42" ht="12.75">
      <c r="A42">
        <v>0</v>
      </c>
    </row>
    <row r="43" ht="12.75">
      <c r="A43">
        <v>0</v>
      </c>
    </row>
    <row r="44" ht="12.75">
      <c r="A44">
        <v>0</v>
      </c>
    </row>
    <row r="45" ht="12.75">
      <c r="A45">
        <v>1</v>
      </c>
    </row>
    <row r="46" ht="12.75">
      <c r="A46">
        <v>1</v>
      </c>
    </row>
    <row r="47" ht="12.75">
      <c r="A47">
        <v>0</v>
      </c>
    </row>
    <row r="48" ht="12.75">
      <c r="A48">
        <v>0</v>
      </c>
    </row>
    <row r="49" ht="12.75">
      <c r="A49">
        <v>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140625" defaultRowHeight="12.75"/>
  <cols>
    <col min="1" max="1" width="13.140625" style="0" customWidth="1"/>
    <col min="2" max="5" width="12.8515625" style="0" customWidth="1"/>
    <col min="6" max="6" width="12.28125" style="0" customWidth="1"/>
    <col min="7" max="20" width="13.140625" style="0" customWidth="1"/>
  </cols>
  <sheetData>
    <row r="1" spans="2:20" ht="12.75">
      <c r="B1">
        <v>1</v>
      </c>
      <c r="C1">
        <f>B1+1</f>
        <v>2</v>
      </c>
      <c r="D1">
        <f aca="true" t="shared" si="0" ref="D1:T1">C1+1</f>
        <v>3</v>
      </c>
      <c r="E1">
        <f t="shared" si="0"/>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row>
    <row r="2" spans="1:20" ht="12.75">
      <c r="A2">
        <v>1</v>
      </c>
      <c r="B2" s="1">
        <v>0.78404337</v>
      </c>
      <c r="C2" s="1">
        <v>0</v>
      </c>
      <c r="D2" s="1">
        <v>-0.0626916</v>
      </c>
      <c r="E2" s="1">
        <v>0.01588997</v>
      </c>
      <c r="F2" s="1">
        <v>0.18362466</v>
      </c>
      <c r="G2" s="1">
        <v>-0.0028001</v>
      </c>
      <c r="H2" s="1">
        <v>0</v>
      </c>
      <c r="I2" s="1">
        <v>0</v>
      </c>
      <c r="J2" s="1">
        <v>0</v>
      </c>
      <c r="K2" s="1">
        <v>-0.0005883</v>
      </c>
      <c r="L2" s="1">
        <v>-0.0032332</v>
      </c>
      <c r="M2" s="1">
        <v>0</v>
      </c>
      <c r="N2" s="1">
        <v>0.01234568</v>
      </c>
      <c r="O2" s="1">
        <v>-0.0188404</v>
      </c>
      <c r="P2" s="1">
        <v>-0.0448429</v>
      </c>
      <c r="Q2" s="1">
        <v>0</v>
      </c>
      <c r="R2" s="1">
        <v>0.00115767</v>
      </c>
      <c r="S2" s="1">
        <v>0.00186534</v>
      </c>
      <c r="T2" s="1">
        <v>0.00302408</v>
      </c>
    </row>
    <row r="3" spans="1:20" ht="12.75">
      <c r="A3">
        <f>A2+1</f>
        <v>2</v>
      </c>
      <c r="B3" s="1">
        <v>0.75572783</v>
      </c>
      <c r="C3" s="1">
        <v>0</v>
      </c>
      <c r="D3" s="1">
        <v>-0.0412726</v>
      </c>
      <c r="E3" s="1">
        <v>0.06788635</v>
      </c>
      <c r="F3" s="1">
        <v>0.17354284</v>
      </c>
      <c r="G3" s="1">
        <v>-0.0014287</v>
      </c>
      <c r="H3" s="1">
        <v>0</v>
      </c>
      <c r="I3" s="1">
        <v>0</v>
      </c>
      <c r="J3" s="1">
        <v>0</v>
      </c>
      <c r="K3" s="1">
        <v>0.00369666</v>
      </c>
      <c r="L3" s="1">
        <v>-0.0050814</v>
      </c>
      <c r="M3" s="1">
        <v>0</v>
      </c>
      <c r="N3" s="1">
        <v>0.01781545</v>
      </c>
      <c r="O3" s="1">
        <v>-0.0194828</v>
      </c>
      <c r="P3" s="1">
        <v>-0.0399347</v>
      </c>
      <c r="Q3" s="1">
        <v>0</v>
      </c>
      <c r="R3" s="1">
        <v>-0.0006942</v>
      </c>
      <c r="S3" s="1">
        <v>-0.000235</v>
      </c>
      <c r="T3" s="1">
        <v>0.00259176</v>
      </c>
    </row>
    <row r="4" spans="1:20" ht="12.75">
      <c r="A4">
        <f aca="true" t="shared" si="1" ref="A4:A17">A3+1</f>
        <v>3</v>
      </c>
      <c r="B4" s="1">
        <v>0.89231277</v>
      </c>
      <c r="C4" s="1">
        <v>-0.0059005</v>
      </c>
      <c r="D4" s="1">
        <v>-0.0753549</v>
      </c>
      <c r="E4" s="1">
        <v>-0.0269601</v>
      </c>
      <c r="F4" s="1">
        <v>0.06201586</v>
      </c>
      <c r="G4" s="1">
        <v>-0.0024922</v>
      </c>
      <c r="H4" s="1">
        <v>0.00039837</v>
      </c>
      <c r="I4" s="1">
        <v>-0.0006237</v>
      </c>
      <c r="J4" s="1">
        <v>-0.0008924</v>
      </c>
      <c r="K4" s="1">
        <v>0.00308021</v>
      </c>
      <c r="L4" s="1">
        <v>0.00185631</v>
      </c>
      <c r="M4" s="1">
        <v>0.00237192</v>
      </c>
      <c r="N4" s="1">
        <v>0.01246938</v>
      </c>
      <c r="O4" s="1">
        <v>-0.0207572</v>
      </c>
      <c r="P4" s="1">
        <v>0</v>
      </c>
      <c r="Q4" s="1">
        <v>0.0002305</v>
      </c>
      <c r="R4" s="1">
        <v>0.00063693</v>
      </c>
      <c r="S4" s="1">
        <v>0.00189477</v>
      </c>
      <c r="T4" s="1">
        <v>0.00490457</v>
      </c>
    </row>
    <row r="5" spans="1:20" ht="12.75">
      <c r="A5">
        <f t="shared" si="1"/>
        <v>4</v>
      </c>
      <c r="B5" s="1">
        <v>0.85653204</v>
      </c>
      <c r="C5" s="1">
        <v>0.00560896</v>
      </c>
      <c r="D5" s="1">
        <v>-0.0470691</v>
      </c>
      <c r="E5" s="1">
        <v>0.03933353</v>
      </c>
      <c r="F5" s="1">
        <v>0.07332308</v>
      </c>
      <c r="G5" s="1">
        <v>-0.0026021</v>
      </c>
      <c r="H5" s="1">
        <v>-0.0004921</v>
      </c>
      <c r="I5" s="1">
        <v>-0.0014266</v>
      </c>
      <c r="J5" s="1">
        <v>-0.0006302</v>
      </c>
      <c r="K5" s="1">
        <v>0.00551828</v>
      </c>
      <c r="L5" s="1">
        <v>-0.0012999</v>
      </c>
      <c r="M5" s="1">
        <v>0.00224003</v>
      </c>
      <c r="N5" s="1">
        <v>0.0151238</v>
      </c>
      <c r="O5" s="1">
        <v>-0.0198742</v>
      </c>
      <c r="P5" s="1">
        <v>0</v>
      </c>
      <c r="Q5" s="1">
        <v>-2.58E-05</v>
      </c>
      <c r="R5" s="1">
        <v>-0.0009848</v>
      </c>
      <c r="S5" s="1">
        <v>-0.000349</v>
      </c>
      <c r="T5" s="1">
        <v>0.00407644</v>
      </c>
    </row>
    <row r="6" spans="1:20" ht="12.75">
      <c r="A6">
        <f t="shared" si="1"/>
        <v>5</v>
      </c>
      <c r="B6" s="1">
        <v>0.71725273</v>
      </c>
      <c r="C6" s="1">
        <v>-0.0220381</v>
      </c>
      <c r="D6" s="1">
        <v>-0.0656135</v>
      </c>
      <c r="E6" s="1">
        <v>0.03467739</v>
      </c>
      <c r="F6" s="1">
        <v>0.11542548</v>
      </c>
      <c r="G6" s="1">
        <v>-0.0024306</v>
      </c>
      <c r="H6" s="1">
        <v>0.00239333</v>
      </c>
      <c r="I6" s="1">
        <v>0.00017063</v>
      </c>
      <c r="J6" s="1">
        <v>0.00078584</v>
      </c>
      <c r="K6" s="1">
        <v>0.00538004</v>
      </c>
      <c r="L6" s="1">
        <v>-0.0069008</v>
      </c>
      <c r="M6" s="1">
        <v>-0.0068461</v>
      </c>
      <c r="N6" s="1">
        <v>-0.0059268</v>
      </c>
      <c r="O6" s="1">
        <v>-0.0182123</v>
      </c>
      <c r="P6" s="1">
        <v>-0.018053</v>
      </c>
      <c r="Q6" s="1">
        <v>0.00021603</v>
      </c>
      <c r="R6" s="1">
        <v>7.409E-05</v>
      </c>
      <c r="S6" s="1">
        <v>0.00219304</v>
      </c>
      <c r="T6" s="1">
        <v>0.00495485</v>
      </c>
    </row>
    <row r="7" spans="1:20" ht="12.75">
      <c r="A7">
        <f t="shared" si="1"/>
        <v>6</v>
      </c>
      <c r="B7" s="1">
        <v>0.66286117</v>
      </c>
      <c r="C7" s="1">
        <v>-0.01117</v>
      </c>
      <c r="D7" s="1">
        <v>-0.0466811</v>
      </c>
      <c r="E7" s="1">
        <v>0.10415677</v>
      </c>
      <c r="F7" s="1">
        <v>0.1555825</v>
      </c>
      <c r="G7" s="1">
        <v>-0.0009999</v>
      </c>
      <c r="H7" s="1">
        <v>0.00123304</v>
      </c>
      <c r="I7" s="1">
        <v>-0.0013884</v>
      </c>
      <c r="J7" s="1">
        <v>0.00144637</v>
      </c>
      <c r="K7" s="1">
        <v>0.00813609</v>
      </c>
      <c r="L7" s="1">
        <v>-0.0102919</v>
      </c>
      <c r="M7" s="1">
        <v>-0.0027628</v>
      </c>
      <c r="N7" s="1">
        <v>0.00179876</v>
      </c>
      <c r="O7" s="1">
        <v>-0.0155533</v>
      </c>
      <c r="P7" s="1">
        <v>-0.023516</v>
      </c>
      <c r="Q7" s="1">
        <v>-0.0001317</v>
      </c>
      <c r="R7" s="1">
        <v>-0.0013001</v>
      </c>
      <c r="S7" s="1">
        <v>-0.0001701</v>
      </c>
      <c r="T7" s="1">
        <v>0.0021117</v>
      </c>
    </row>
    <row r="8" spans="1:20" ht="12.75">
      <c r="A8">
        <f t="shared" si="1"/>
        <v>7</v>
      </c>
      <c r="B8" s="1">
        <v>0.79399413</v>
      </c>
      <c r="C8" s="1">
        <v>-0.0059004</v>
      </c>
      <c r="D8" s="1">
        <v>-0.0630189</v>
      </c>
      <c r="E8" s="1">
        <v>0.01801793</v>
      </c>
      <c r="F8" s="1">
        <v>0.1619482</v>
      </c>
      <c r="G8" s="1">
        <v>-0.0037051</v>
      </c>
      <c r="H8" s="1">
        <v>0.00081849</v>
      </c>
      <c r="I8" s="1">
        <v>-0.000322</v>
      </c>
      <c r="J8" s="1">
        <v>0.00039037</v>
      </c>
      <c r="K8" s="1">
        <v>-0.0008896</v>
      </c>
      <c r="L8" s="1">
        <v>-0.0041253</v>
      </c>
      <c r="M8" s="1">
        <v>-0.003481</v>
      </c>
      <c r="N8" s="1">
        <v>0.0026637</v>
      </c>
      <c r="O8" s="1">
        <v>-0.0156874</v>
      </c>
      <c r="P8" s="1">
        <v>-0.0423665</v>
      </c>
      <c r="Q8" s="1">
        <v>4.032E-05</v>
      </c>
      <c r="R8" s="1">
        <v>0.00137467</v>
      </c>
      <c r="S8" s="1">
        <v>0.00205882</v>
      </c>
      <c r="T8" s="1">
        <v>0.00345549</v>
      </c>
    </row>
    <row r="9" spans="1:20" ht="12.75">
      <c r="A9">
        <f t="shared" si="1"/>
        <v>8</v>
      </c>
      <c r="B9" s="1">
        <v>0.75304949</v>
      </c>
      <c r="C9" s="1">
        <v>-0.0039446</v>
      </c>
      <c r="D9" s="1">
        <v>-0.0387413</v>
      </c>
      <c r="E9" s="1">
        <v>0.07195393</v>
      </c>
      <c r="F9" s="1">
        <v>0.15915442</v>
      </c>
      <c r="G9" s="1">
        <v>-0.001032</v>
      </c>
      <c r="H9" s="1">
        <v>0.0005113</v>
      </c>
      <c r="I9" s="1">
        <v>-7.61E-05</v>
      </c>
      <c r="J9" s="1">
        <v>0.00059102</v>
      </c>
      <c r="K9" s="1">
        <v>0.00414472</v>
      </c>
      <c r="L9" s="1">
        <v>-0.0062676</v>
      </c>
      <c r="M9" s="1">
        <v>-0.0022583</v>
      </c>
      <c r="N9" s="1">
        <v>0.01422931</v>
      </c>
      <c r="O9" s="1">
        <v>-0.0147802</v>
      </c>
      <c r="P9" s="1">
        <v>-0.0393608</v>
      </c>
      <c r="Q9" s="1">
        <v>-7.22E-05</v>
      </c>
      <c r="R9" s="1">
        <v>-0.0010331</v>
      </c>
      <c r="S9" s="1">
        <v>-0.0001561</v>
      </c>
      <c r="T9" s="1">
        <v>0.00204608</v>
      </c>
    </row>
    <row r="10" spans="1:20" ht="12.75">
      <c r="A10">
        <f t="shared" si="1"/>
        <v>9</v>
      </c>
      <c r="B10" s="1">
        <v>0.86826742</v>
      </c>
      <c r="C10" s="1">
        <v>-0.0154041</v>
      </c>
      <c r="D10" s="1">
        <v>-0.0675775</v>
      </c>
      <c r="E10" s="1">
        <v>-0.0346579</v>
      </c>
      <c r="F10" s="1">
        <v>0.10827631</v>
      </c>
      <c r="G10" s="1">
        <v>-3.39E-05</v>
      </c>
      <c r="H10" s="1">
        <v>0.00177775</v>
      </c>
      <c r="I10" s="1">
        <v>0.000869</v>
      </c>
      <c r="J10" s="1">
        <v>0.00039226</v>
      </c>
      <c r="K10" s="1">
        <v>0.00834285</v>
      </c>
      <c r="L10" s="1">
        <v>0.00051283</v>
      </c>
      <c r="M10" s="1">
        <v>-0.0085254</v>
      </c>
      <c r="N10" s="1">
        <v>-0.0079404</v>
      </c>
      <c r="O10" s="1">
        <v>-0.0189528</v>
      </c>
      <c r="P10" s="1">
        <v>-0.013319</v>
      </c>
      <c r="Q10" s="1">
        <v>0.00024774</v>
      </c>
      <c r="R10" s="1">
        <v>-0.0004417</v>
      </c>
      <c r="S10" s="1">
        <v>0.00193629</v>
      </c>
      <c r="T10" s="1">
        <v>0.00554321</v>
      </c>
    </row>
    <row r="11" spans="1:20" ht="12.75">
      <c r="A11">
        <f t="shared" si="1"/>
        <v>10</v>
      </c>
      <c r="B11" s="1">
        <v>0.85992879</v>
      </c>
      <c r="C11" s="1">
        <v>-0.0011788</v>
      </c>
      <c r="D11" s="1">
        <v>-0.0570677</v>
      </c>
      <c r="E11" s="1">
        <v>0.03259717</v>
      </c>
      <c r="F11" s="1">
        <v>0.16789688</v>
      </c>
      <c r="G11" s="1">
        <v>-0.00017742</v>
      </c>
      <c r="H11" s="1">
        <v>0.00041268</v>
      </c>
      <c r="I11" s="1">
        <v>-0.001209</v>
      </c>
      <c r="J11" s="1">
        <v>0.00075719</v>
      </c>
      <c r="K11" s="1">
        <v>0.01013219</v>
      </c>
      <c r="L11" s="1">
        <v>-0.0027625</v>
      </c>
      <c r="M11" s="1">
        <v>-0.0034071</v>
      </c>
      <c r="N11" s="1">
        <v>0.00021417</v>
      </c>
      <c r="O11" s="1">
        <v>-0.0179804</v>
      </c>
      <c r="P11" s="1">
        <v>-0.0217781</v>
      </c>
      <c r="Q11" s="1">
        <v>-0.0001507</v>
      </c>
      <c r="R11" s="1">
        <v>-0.0012331</v>
      </c>
      <c r="S11" s="1">
        <v>-5.57E-05</v>
      </c>
      <c r="T11" s="1">
        <v>0.00222115</v>
      </c>
    </row>
    <row r="12" spans="1:20" ht="12.75">
      <c r="A12">
        <f t="shared" si="1"/>
        <v>11</v>
      </c>
      <c r="B12" s="1">
        <v>0.5959323</v>
      </c>
      <c r="C12" s="1">
        <v>-0.0473268</v>
      </c>
      <c r="D12" s="1">
        <v>-0.0311221</v>
      </c>
      <c r="E12" s="1">
        <v>0.03256568</v>
      </c>
      <c r="F12" s="1">
        <v>0.21272148</v>
      </c>
      <c r="G12" s="1">
        <v>0.00202659</v>
      </c>
      <c r="H12" s="1">
        <v>0.00500298</v>
      </c>
      <c r="I12" s="1">
        <v>0.00590225</v>
      </c>
      <c r="J12" s="1">
        <v>-0.0011901</v>
      </c>
      <c r="K12" s="1">
        <v>-0.0030183</v>
      </c>
      <c r="L12" s="1">
        <v>-0.0034906</v>
      </c>
      <c r="M12" s="1">
        <v>-0.0008778</v>
      </c>
      <c r="N12" s="1">
        <v>-0.0043652</v>
      </c>
      <c r="O12" s="1">
        <v>-0.0159747</v>
      </c>
      <c r="P12" s="1">
        <v>-0.0378695</v>
      </c>
      <c r="Q12" s="1">
        <v>-0.0008238</v>
      </c>
      <c r="R12" s="1">
        <v>-0.0014031</v>
      </c>
      <c r="S12" s="1">
        <v>0.00155153</v>
      </c>
      <c r="T12" s="1">
        <v>0.00220878</v>
      </c>
    </row>
    <row r="13" spans="1:20" ht="12.75">
      <c r="A13">
        <f t="shared" si="1"/>
        <v>12</v>
      </c>
      <c r="B13" s="1">
        <v>0.55161619</v>
      </c>
      <c r="C13" s="1">
        <v>-0.0407162</v>
      </c>
      <c r="D13" s="1">
        <v>-0.0182278</v>
      </c>
      <c r="E13" s="1">
        <v>0.1035924</v>
      </c>
      <c r="F13" s="1">
        <v>0.24491063</v>
      </c>
      <c r="G13" s="1">
        <v>0.00285987</v>
      </c>
      <c r="H13" s="1">
        <v>0.0042279</v>
      </c>
      <c r="I13" s="1">
        <v>0.00407121</v>
      </c>
      <c r="J13" s="1">
        <v>-0.0004538</v>
      </c>
      <c r="K13" s="1">
        <v>-0.0014684</v>
      </c>
      <c r="L13" s="1">
        <v>-0.0060874</v>
      </c>
      <c r="M13" s="1">
        <v>0.00187184</v>
      </c>
      <c r="N13" s="1">
        <v>0.0019923</v>
      </c>
      <c r="O13" s="1">
        <v>-0.0145808</v>
      </c>
      <c r="P13" s="1">
        <v>-0.0465148</v>
      </c>
      <c r="Q13" s="1">
        <v>-0.0010338</v>
      </c>
      <c r="R13" s="1">
        <v>-0.00224</v>
      </c>
      <c r="S13" s="1">
        <v>-0.0010916</v>
      </c>
      <c r="T13" s="1">
        <v>0.00074973</v>
      </c>
    </row>
    <row r="14" spans="1:20" ht="12.75">
      <c r="A14">
        <f t="shared" si="1"/>
        <v>13</v>
      </c>
      <c r="B14" s="1">
        <v>0.67369795</v>
      </c>
      <c r="C14" s="1">
        <v>-0.0074701</v>
      </c>
      <c r="D14" s="1">
        <v>-0.0419024</v>
      </c>
      <c r="E14" s="1">
        <v>0.02388243</v>
      </c>
      <c r="F14" s="1">
        <v>0.13744754</v>
      </c>
      <c r="G14" s="1">
        <v>0.00223426</v>
      </c>
      <c r="H14" s="1">
        <v>0.00279771</v>
      </c>
      <c r="I14" s="1">
        <v>0.00605931</v>
      </c>
      <c r="J14" s="1">
        <v>-0.0014437</v>
      </c>
      <c r="K14" s="1">
        <v>-0.0015165</v>
      </c>
      <c r="L14" s="1">
        <v>-0.0038571</v>
      </c>
      <c r="M14" s="1">
        <v>-0.0062085</v>
      </c>
      <c r="N14" s="1">
        <v>0.00184524</v>
      </c>
      <c r="O14" s="1">
        <v>-0.0112623</v>
      </c>
      <c r="P14" s="1">
        <v>-0.0250573</v>
      </c>
      <c r="Q14" s="1">
        <v>-0.0007594</v>
      </c>
      <c r="R14" s="1">
        <v>-0.0014674</v>
      </c>
      <c r="S14" s="1">
        <v>0.00142162</v>
      </c>
      <c r="T14" s="1">
        <v>0.00275213</v>
      </c>
    </row>
    <row r="15" spans="1:20" ht="12.75">
      <c r="A15">
        <f t="shared" si="1"/>
        <v>14</v>
      </c>
      <c r="B15" s="1">
        <v>0.65043819</v>
      </c>
      <c r="C15" s="1">
        <v>-0.0062673</v>
      </c>
      <c r="D15" s="1">
        <v>-0.0274498</v>
      </c>
      <c r="E15" s="1">
        <v>0.08847391</v>
      </c>
      <c r="F15" s="1">
        <v>0.1644899</v>
      </c>
      <c r="G15" s="1">
        <v>0.00098788</v>
      </c>
      <c r="H15" s="1">
        <v>0.00209113</v>
      </c>
      <c r="I15" s="1">
        <v>0.00376914</v>
      </c>
      <c r="J15" s="1">
        <v>-0.0013728</v>
      </c>
      <c r="K15" s="1">
        <v>0.00063718</v>
      </c>
      <c r="L15" s="1">
        <v>-0.0062679</v>
      </c>
      <c r="M15" s="1">
        <v>-0.0047384</v>
      </c>
      <c r="N15" s="1">
        <v>0.00404005</v>
      </c>
      <c r="O15" s="1">
        <v>-0.0099758</v>
      </c>
      <c r="P15" s="1">
        <v>-0.0306925</v>
      </c>
      <c r="Q15" s="1">
        <v>-0.0004314</v>
      </c>
      <c r="R15" s="1">
        <v>-0.0021041</v>
      </c>
      <c r="S15" s="1">
        <v>-0.0008337</v>
      </c>
      <c r="T15" s="1">
        <v>0.00182356</v>
      </c>
    </row>
    <row r="16" spans="1:20" ht="12.75">
      <c r="A16">
        <f t="shared" si="1"/>
        <v>15</v>
      </c>
      <c r="B16" s="1">
        <v>0.7718479</v>
      </c>
      <c r="C16" s="1">
        <v>-0.0386561</v>
      </c>
      <c r="D16" s="1">
        <v>-0.0434294</v>
      </c>
      <c r="E16" s="1">
        <v>-0.0346539</v>
      </c>
      <c r="F16" s="1">
        <v>0.21522972</v>
      </c>
      <c r="G16" s="1">
        <v>0.00393668</v>
      </c>
      <c r="H16" s="1">
        <v>0.00409718</v>
      </c>
      <c r="I16" s="1">
        <v>0.0054332</v>
      </c>
      <c r="J16" s="1">
        <v>-0.0011813</v>
      </c>
      <c r="K16" s="1">
        <v>1.733E-05</v>
      </c>
      <c r="L16" s="1">
        <v>0.00349585</v>
      </c>
      <c r="M16" s="1">
        <v>0.00013448</v>
      </c>
      <c r="N16" s="1">
        <v>-0.0006779</v>
      </c>
      <c r="O16" s="1">
        <v>-0.0197778</v>
      </c>
      <c r="P16" s="1">
        <v>-0.0387323</v>
      </c>
      <c r="Q16" s="1">
        <v>-0.000972</v>
      </c>
      <c r="R16" s="1">
        <v>-0.0020006</v>
      </c>
      <c r="S16" s="1">
        <v>0.00151529</v>
      </c>
      <c r="T16" s="1">
        <v>0.00269907</v>
      </c>
    </row>
    <row r="17" spans="1:20" ht="12.75">
      <c r="A17">
        <f t="shared" si="1"/>
        <v>16</v>
      </c>
      <c r="B17" s="1">
        <v>0.77682841</v>
      </c>
      <c r="C17" s="1">
        <v>-0.0288403</v>
      </c>
      <c r="D17" s="1">
        <v>-0.0373435</v>
      </c>
      <c r="E17" s="1">
        <v>0.03387784</v>
      </c>
      <c r="F17" s="1">
        <v>0.26006714</v>
      </c>
      <c r="G17" s="1">
        <v>0.00155403</v>
      </c>
      <c r="H17" s="1">
        <v>0.00309614</v>
      </c>
      <c r="I17" s="1">
        <v>0.00338795</v>
      </c>
      <c r="J17" s="1">
        <v>-0.0006225</v>
      </c>
      <c r="K17" s="1">
        <v>0.00132589</v>
      </c>
      <c r="L17" s="1">
        <v>0.00080919</v>
      </c>
      <c r="M17" s="1">
        <v>0.00325629</v>
      </c>
      <c r="N17" s="1">
        <v>0.00538607</v>
      </c>
      <c r="O17" s="1">
        <v>-0.019556</v>
      </c>
      <c r="P17" s="1">
        <v>-0.0503497</v>
      </c>
      <c r="Q17" s="1">
        <v>-0.0012334</v>
      </c>
      <c r="R17" s="1">
        <v>-0.0024747</v>
      </c>
      <c r="S17" s="1">
        <v>-0.000763</v>
      </c>
      <c r="T17" s="1">
        <v>0.00120785</v>
      </c>
    </row>
    <row r="20" ht="12.75">
      <c r="A20" t="s">
        <v>53</v>
      </c>
    </row>
    <row r="28" ht="12.75">
      <c r="A28" s="2"/>
    </row>
    <row r="30" ht="12.75">
      <c r="A30" s="2"/>
    </row>
    <row r="32" ht="12.75">
      <c r="A32" s="2"/>
    </row>
    <row r="34" ht="12.75">
      <c r="A34" s="2"/>
    </row>
    <row r="36" ht="12.75">
      <c r="A36" s="2"/>
    </row>
    <row r="38" ht="12.75">
      <c r="A38" s="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4:G22"/>
  <sheetViews>
    <sheetView zoomScalePageLayoutView="0" workbookViewId="0" topLeftCell="A3">
      <selection activeCell="B5" sqref="B5:E5"/>
    </sheetView>
  </sheetViews>
  <sheetFormatPr defaultColWidth="9.140625" defaultRowHeight="12.75"/>
  <sheetData>
    <row r="4" ht="12.75">
      <c r="A4" t="s">
        <v>243</v>
      </c>
    </row>
    <row r="5" spans="2:5" ht="12.75">
      <c r="B5">
        <v>0.116</v>
      </c>
      <c r="C5">
        <v>0.0578</v>
      </c>
      <c r="D5">
        <v>0.417</v>
      </c>
      <c r="E5">
        <v>0.833</v>
      </c>
    </row>
    <row r="8" spans="1:7" ht="12.75">
      <c r="A8" t="s">
        <v>244</v>
      </c>
      <c r="B8">
        <f>CORC!A45</f>
        <v>1</v>
      </c>
      <c r="C8" t="s">
        <v>233</v>
      </c>
      <c r="F8">
        <f>2*B8+1</f>
        <v>3</v>
      </c>
      <c r="G8">
        <f ca="1">OFFSET(A4,1,F8,1,1)</f>
        <v>0.417</v>
      </c>
    </row>
    <row r="9" spans="1:7" ht="12.75">
      <c r="A9" t="s">
        <v>245</v>
      </c>
      <c r="B9">
        <f>CORC!A46</f>
        <v>1</v>
      </c>
      <c r="C9" t="s">
        <v>234</v>
      </c>
      <c r="F9">
        <f>2*B9+1</f>
        <v>3</v>
      </c>
      <c r="G9">
        <f ca="1">OFFSET(A4,1,F9+1,1,1)</f>
        <v>0.833</v>
      </c>
    </row>
    <row r="12" spans="1:2" ht="12.75">
      <c r="A12" t="s">
        <v>246</v>
      </c>
      <c r="B12">
        <f>Input!B17+Input!B18+G8</f>
        <v>2.517</v>
      </c>
    </row>
    <row r="13" spans="1:2" ht="12.75">
      <c r="A13" t="s">
        <v>247</v>
      </c>
      <c r="B13">
        <f>Input!G14/RadFloor!B12</f>
        <v>43.62971791815653</v>
      </c>
    </row>
    <row r="15" spans="1:2" ht="12.75">
      <c r="A15" t="s">
        <v>246</v>
      </c>
      <c r="B15">
        <f>Input!B19+RadFloor!G9</f>
        <v>2.433</v>
      </c>
    </row>
    <row r="16" spans="1:2" ht="12.75">
      <c r="A16" t="s">
        <v>250</v>
      </c>
      <c r="B16">
        <f>Input!H14/RadFloor!B15</f>
        <v>42.48253185367859</v>
      </c>
    </row>
    <row r="18" spans="1:2" ht="12.75">
      <c r="A18" t="s">
        <v>252</v>
      </c>
      <c r="B18">
        <f>MAX(B13+B16,0.1)</f>
        <v>86.11224977183511</v>
      </c>
    </row>
    <row r="19" spans="1:2" ht="12.75">
      <c r="A19" t="s">
        <v>251</v>
      </c>
      <c r="B19">
        <f>Loads!D27</f>
        <v>43.33128877222755</v>
      </c>
    </row>
    <row r="21" spans="1:5" ht="12.75">
      <c r="A21" t="s">
        <v>253</v>
      </c>
      <c r="B21">
        <f>B19*B13/B18</f>
        <v>21.95427376675985</v>
      </c>
      <c r="C21">
        <f>Loads!D27</f>
        <v>43.33128877222755</v>
      </c>
      <c r="E21">
        <f>IF(Input!$B$58&gt;0,RadFloor!B21,RadFloor!C21)</f>
        <v>43.33128877222755</v>
      </c>
    </row>
    <row r="22" spans="1:5" ht="12.75">
      <c r="A22" t="s">
        <v>254</v>
      </c>
      <c r="B22">
        <f>B19*B16/B18</f>
        <v>21.377015005467708</v>
      </c>
      <c r="C22">
        <v>0</v>
      </c>
      <c r="E22">
        <f>IF(Input!$B$58&gt;0,RadFloor!B22,RadFloor!C22)</f>
        <v>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Bradley, Brian</dc:creator>
  <cp:keywords/>
  <dc:description/>
  <cp:lastModifiedBy>xbany</cp:lastModifiedBy>
  <dcterms:created xsi:type="dcterms:W3CDTF">2010-02-10T16:50:00Z</dcterms:created>
  <dcterms:modified xsi:type="dcterms:W3CDTF">2021-02-15T19:45:41Z</dcterms:modified>
  <cp:category/>
  <cp:version/>
  <cp:contentType/>
  <cp:contentStatus/>
</cp:coreProperties>
</file>