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K:\xt engineering\web\tools\"/>
    </mc:Choice>
  </mc:AlternateContent>
  <xr:revisionPtr revIDLastSave="0" documentId="8_{CAAA2065-962C-49A2-9CB6-88FE9E7941E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FP HYDRAULIC CALC" sheetId="4" r:id="rId1"/>
    <sheet name="PIPE CHART" sheetId="7" r:id="rId2"/>
    <sheet name="PROJECT INFO" sheetId="8" r:id="rId3"/>
    <sheet name="NPFA 13 reference" sheetId="5" r:id="rId4"/>
    <sheet name="MATERIAL C" sheetId="3" r:id="rId5"/>
  </sheets>
  <calcPr calcId="181029"/>
</workbook>
</file>

<file path=xl/calcChain.xml><?xml version="1.0" encoding="utf-8"?>
<calcChain xmlns="http://schemas.openxmlformats.org/spreadsheetml/2006/main">
  <c r="D16" i="8" l="1"/>
  <c r="N58" i="4"/>
  <c r="K58" i="4"/>
  <c r="H58" i="4"/>
  <c r="N55" i="4"/>
  <c r="K55" i="4"/>
  <c r="H55" i="4"/>
  <c r="N52" i="4"/>
  <c r="K52" i="4"/>
  <c r="H52" i="4"/>
  <c r="N49" i="4"/>
  <c r="K49" i="4"/>
  <c r="H49" i="4"/>
  <c r="N46" i="4"/>
  <c r="K46" i="4"/>
  <c r="H46" i="4"/>
  <c r="N43" i="4"/>
  <c r="K43" i="4"/>
  <c r="H43" i="4"/>
  <c r="N40" i="4"/>
  <c r="K40" i="4"/>
  <c r="H40" i="4"/>
  <c r="N37" i="4"/>
  <c r="J37" i="4"/>
  <c r="K37" i="4" s="1"/>
  <c r="H37" i="4"/>
  <c r="N33" i="4"/>
  <c r="H33" i="4"/>
  <c r="N30" i="4"/>
  <c r="H30" i="4"/>
  <c r="N27" i="4"/>
  <c r="H27" i="4"/>
  <c r="N24" i="4"/>
  <c r="H24" i="4"/>
  <c r="A24" i="4"/>
  <c r="A27" i="4" s="1"/>
  <c r="A30" i="4" s="1"/>
  <c r="A33" i="4" s="1"/>
  <c r="N21" i="4"/>
  <c r="H21" i="4"/>
  <c r="D12" i="4"/>
  <c r="D13" i="4" s="1"/>
  <c r="D16" i="4" s="1"/>
  <c r="E21" i="4" l="1"/>
  <c r="E30" i="4"/>
  <c r="A37" i="4"/>
  <c r="A40" i="4" s="1"/>
  <c r="A43" i="4" s="1"/>
  <c r="A46" i="4" s="1"/>
  <c r="A49" i="4" s="1"/>
  <c r="A52" i="4" s="1"/>
  <c r="A55" i="4" s="1"/>
  <c r="A58" i="4" s="1"/>
  <c r="O30" i="4" l="1"/>
  <c r="F30" i="4"/>
  <c r="L30" i="4" s="1"/>
  <c r="M30" i="4" s="1"/>
  <c r="P30" i="4" s="1"/>
  <c r="E33" i="4" s="1"/>
  <c r="R30" i="4"/>
  <c r="F21" i="4"/>
  <c r="R21" i="4"/>
  <c r="O21" i="4"/>
  <c r="S21" i="4" l="1"/>
  <c r="T21" i="4"/>
  <c r="T30" i="4"/>
  <c r="S30" i="4"/>
  <c r="F33" i="4"/>
  <c r="L33" i="4" s="1"/>
  <c r="M33" i="4" s="1"/>
  <c r="R33" i="4"/>
  <c r="O33" i="4"/>
  <c r="L21" i="4"/>
  <c r="M21" i="4" s="1"/>
  <c r="P21" i="4" s="1"/>
  <c r="S33" i="4" l="1"/>
  <c r="T33" i="4"/>
  <c r="P33" i="4"/>
  <c r="O24" i="4"/>
  <c r="E24" i="4"/>
  <c r="F24" i="4" s="1"/>
  <c r="L24" i="4" l="1"/>
  <c r="M24" i="4" s="1"/>
  <c r="P24" i="4" s="1"/>
  <c r="R24" i="4"/>
  <c r="T24" i="4" l="1"/>
  <c r="S24" i="4"/>
  <c r="E27" i="4"/>
  <c r="F27" i="4" s="1"/>
  <c r="O27" i="4"/>
  <c r="O37" i="4"/>
  <c r="R27" i="4" l="1"/>
  <c r="F37" i="4"/>
  <c r="L27" i="4"/>
  <c r="M27" i="4" s="1"/>
  <c r="P27" i="4" s="1"/>
  <c r="F40" i="4" l="1"/>
  <c r="L37" i="4"/>
  <c r="M37" i="4" s="1"/>
  <c r="P37" i="4" s="1"/>
  <c r="O40" i="4" s="1"/>
  <c r="R37" i="4"/>
  <c r="S27" i="4"/>
  <c r="T27" i="4"/>
  <c r="T37" i="4" l="1"/>
  <c r="S37" i="4"/>
  <c r="R40" i="4"/>
  <c r="F43" i="4"/>
  <c r="L40" i="4"/>
  <c r="M40" i="4" s="1"/>
  <c r="P40" i="4" s="1"/>
  <c r="O43" i="4" s="1"/>
  <c r="T40" i="4" l="1"/>
  <c r="S40" i="4"/>
  <c r="F46" i="4"/>
  <c r="L43" i="4"/>
  <c r="M43" i="4" s="1"/>
  <c r="P43" i="4" s="1"/>
  <c r="O46" i="4" s="1"/>
  <c r="R43" i="4"/>
  <c r="R46" i="4" l="1"/>
  <c r="F49" i="4"/>
  <c r="L46" i="4"/>
  <c r="M46" i="4" s="1"/>
  <c r="P46" i="4" s="1"/>
  <c r="O49" i="4" s="1"/>
  <c r="T43" i="4"/>
  <c r="S43" i="4"/>
  <c r="F52" i="4" l="1"/>
  <c r="L49" i="4"/>
  <c r="M49" i="4" s="1"/>
  <c r="P49" i="4" s="1"/>
  <c r="O52" i="4" s="1"/>
  <c r="R49" i="4"/>
  <c r="T46" i="4"/>
  <c r="S46" i="4"/>
  <c r="S49" i="4" l="1"/>
  <c r="T49" i="4"/>
  <c r="R52" i="4"/>
  <c r="F55" i="4"/>
  <c r="L52" i="4"/>
  <c r="M52" i="4" s="1"/>
  <c r="P52" i="4" s="1"/>
  <c r="O55" i="4" s="1"/>
  <c r="F58" i="4" l="1"/>
  <c r="L55" i="4"/>
  <c r="M55" i="4" s="1"/>
  <c r="P55" i="4" s="1"/>
  <c r="O58" i="4" s="1"/>
  <c r="R55" i="4"/>
  <c r="T52" i="4"/>
  <c r="S52" i="4"/>
  <c r="S55" i="4" l="1"/>
  <c r="T55" i="4"/>
  <c r="R58" i="4"/>
  <c r="F62" i="4"/>
  <c r="L58" i="4"/>
  <c r="M58" i="4" s="1"/>
  <c r="P58" i="4" s="1"/>
  <c r="O62" i="4" s="1"/>
  <c r="Q62" i="4" s="1"/>
  <c r="S62" i="4" s="1"/>
  <c r="O63" i="4" l="1"/>
  <c r="H62" i="4"/>
  <c r="S58" i="4"/>
  <c r="T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36" authorId="0" shapeId="0" xr:uid="{00000000-0006-0000-0000-000001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ABOVE BLUE LINE ARE DISCHARGE SPRINKLER NODES, BELOW ARE PIPING SECTIONS, YOU CAN ADD MORE NODES</t>
        </r>
      </text>
    </comment>
    <comment ref="T36" authorId="0" shapeId="0" xr:uid="{00000000-0006-0000-0000-000002000000}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ABOVE BLUE LINE ARE DISCHARGE SPRINKLER NODES, BELOW ARE PIPING SECTIONS, YOU CAN ADD MORE NODES</t>
        </r>
      </text>
    </comment>
  </commentList>
</comments>
</file>

<file path=xl/sharedStrings.xml><?xml version="1.0" encoding="utf-8"?>
<sst xmlns="http://schemas.openxmlformats.org/spreadsheetml/2006/main" count="295" uniqueCount="167">
  <si>
    <t xml:space="preserve">FIRE SPRINKLER (NFPA13) HYDRAULIC CALCULATIONS </t>
  </si>
  <si>
    <t>SPREADSHEET DEVELOPPED BY TAN, XIANGYANG P.ENG</t>
  </si>
  <si>
    <t>HAZE WILLIAMS METHOD</t>
  </si>
  <si>
    <t>COMPANY</t>
  </si>
  <si>
    <t>XT ENGINEERING LTD.</t>
  </si>
  <si>
    <t>DESIGNER</t>
  </si>
  <si>
    <t>X.Tan</t>
  </si>
  <si>
    <t>CLIENT</t>
  </si>
  <si>
    <t>AGELESS BEAUTY LASER AND SPA</t>
  </si>
  <si>
    <t>PROJECT</t>
  </si>
  <si>
    <t>UNIT 111</t>
  </si>
  <si>
    <t>8645 160TH SURREY BC</t>
  </si>
  <si>
    <t>JOB NO</t>
  </si>
  <si>
    <t>X19005C</t>
  </si>
  <si>
    <t>DATE</t>
  </si>
  <si>
    <t>HAZARD CLASSIFICATION</t>
  </si>
  <si>
    <t>OH1</t>
  </si>
  <si>
    <t>DENSITY</t>
  </si>
  <si>
    <t>GPM/SQFT</t>
  </si>
  <si>
    <t>MAXIMUM COVERAGE AREA</t>
  </si>
  <si>
    <t>SQFT</t>
  </si>
  <si>
    <t>WATER DEMAND</t>
  </si>
  <si>
    <t>DISCHARGING SPRINKLER</t>
  </si>
  <si>
    <t>MAXIMUM  SPACING</t>
  </si>
  <si>
    <t>FT</t>
  </si>
  <si>
    <t>SINGLE SPRINKLER REQUIRED FLOW</t>
  </si>
  <si>
    <t>GPM</t>
  </si>
  <si>
    <t>ADDITION FLOW ALLOWANCE</t>
  </si>
  <si>
    <t>PIPE</t>
  </si>
  <si>
    <t>NODE</t>
  </si>
  <si>
    <t>ELEV1</t>
  </si>
  <si>
    <t>K FACTOR</t>
  </si>
  <si>
    <t>FLOW @ NODE</t>
  </si>
  <si>
    <t>FLOW @ PIPE</t>
  </si>
  <si>
    <t>PIPE SIZE</t>
  </si>
  <si>
    <t xml:space="preserve">PIPE </t>
  </si>
  <si>
    <t>TOTAL</t>
  </si>
  <si>
    <t>FRICTION LOSS Pf</t>
  </si>
  <si>
    <t>HEAD LOSS OVER PIPE Pf</t>
  </si>
  <si>
    <t>ELEV PRESSURE Pe</t>
  </si>
  <si>
    <t>RESIDUAL PRESSURE</t>
  </si>
  <si>
    <t>PRESSURE AT NEXT NODE</t>
  </si>
  <si>
    <t>ROUGHNESS COEFF.</t>
  </si>
  <si>
    <t>WATER VELOCITY</t>
  </si>
  <si>
    <t>VELOCITY PRESSURE</t>
  </si>
  <si>
    <t>NOTES</t>
  </si>
  <si>
    <t xml:space="preserve">TO </t>
  </si>
  <si>
    <t>ELEV2</t>
  </si>
  <si>
    <t>NOM.</t>
  </si>
  <si>
    <t>ACTUAL</t>
  </si>
  <si>
    <t>PIPE &amp;</t>
  </si>
  <si>
    <t>LENGTH</t>
  </si>
  <si>
    <t>PIPE LENGTH</t>
  </si>
  <si>
    <t>PER FT</t>
  </si>
  <si>
    <t>Pt</t>
  </si>
  <si>
    <t>NO.</t>
  </si>
  <si>
    <t>IN</t>
  </si>
  <si>
    <t>IN.</t>
  </si>
  <si>
    <t>FITTING</t>
  </si>
  <si>
    <t>PSI</t>
  </si>
  <si>
    <t>FT/SEC</t>
  </si>
  <si>
    <t>M/S</t>
  </si>
  <si>
    <t>***</t>
  </si>
  <si>
    <t xml:space="preserve">1 </t>
  </si>
  <si>
    <t>36</t>
  </si>
  <si>
    <t>5.6</t>
  </si>
  <si>
    <t>STEEL</t>
  </si>
  <si>
    <t>TO</t>
  </si>
  <si>
    <t>1SE</t>
  </si>
  <si>
    <t>2</t>
  </si>
  <si>
    <t>1TT</t>
  </si>
  <si>
    <t>3</t>
  </si>
  <si>
    <t>4</t>
  </si>
  <si>
    <t>4A</t>
  </si>
  <si>
    <t>5A</t>
  </si>
  <si>
    <t>5</t>
  </si>
  <si>
    <t>pipe section below</t>
  </si>
  <si>
    <t>75.4</t>
  </si>
  <si>
    <t>CPVC</t>
  </si>
  <si>
    <t>6</t>
  </si>
  <si>
    <t>67.1</t>
  </si>
  <si>
    <t>7</t>
  </si>
  <si>
    <t>8</t>
  </si>
  <si>
    <t>9</t>
  </si>
  <si>
    <t>57.1</t>
  </si>
  <si>
    <t>10</t>
  </si>
  <si>
    <t>47.1</t>
  </si>
  <si>
    <t>HOSE</t>
  </si>
  <si>
    <t>TEST</t>
  </si>
  <si>
    <t>43.1</t>
  </si>
  <si>
    <t>WATER FLOW=</t>
  </si>
  <si>
    <t>L/S</t>
  </si>
  <si>
    <t>REQUIRED PRESSURE=</t>
  </si>
  <si>
    <t>kPa</t>
  </si>
  <si>
    <t>mH2O</t>
  </si>
  <si>
    <t>SYSTEM K FACTOR =</t>
  </si>
  <si>
    <t>ASTM A53 PIPE SIZE (IN)</t>
  </si>
  <si>
    <t>ACTUAL PIPE SIZE</t>
  </si>
  <si>
    <t xml:space="preserve">FIRE SPRINKLER (NFPA13, 13R) HYDRAULIC CALCULATIONS </t>
  </si>
  <si>
    <t>FORSMAN GARDEN TOWNHOMES</t>
  </si>
  <si>
    <t>X1724</t>
  </si>
  <si>
    <t>Light Hazard</t>
  </si>
  <si>
    <t>MAXIMUM COVERAGE ARAE</t>
  </si>
  <si>
    <t>Pipe Material</t>
  </si>
  <si>
    <t>C factor of Hzaen Williams Equation</t>
  </si>
  <si>
    <t>Steel</t>
  </si>
  <si>
    <t>Material</t>
  </si>
  <si>
    <t>Hazen-Williams Coefficient</t>
  </si>
  <si>
    <r>
      <rPr>
        <b/>
        <sz val="8.8000000000000007"/>
        <color rgb="FF000000"/>
        <rFont val="Arial"/>
        <family val="2"/>
      </rPr>
      <t>- </t>
    </r>
    <r>
      <rPr>
        <b/>
        <i/>
        <sz val="8.8000000000000007"/>
        <color rgb="FF000000"/>
        <rFont val="Arial"/>
        <family val="2"/>
      </rPr>
      <t>c</t>
    </r>
    <r>
      <rPr>
        <b/>
        <sz val="8.8000000000000007"/>
        <color rgb="FF000000"/>
        <rFont val="Arial"/>
        <family val="2"/>
      </rPr>
      <t> -</t>
    </r>
  </si>
  <si>
    <t>ABS - Acrylonite Butadiene Styrene</t>
  </si>
  <si>
    <t>Aluminum</t>
  </si>
  <si>
    <t>130 - 150</t>
  </si>
  <si>
    <t>Asbestos Cement</t>
  </si>
  <si>
    <t>Asphalt Lining</t>
  </si>
  <si>
    <t>130 - 140</t>
  </si>
  <si>
    <t>Brass</t>
  </si>
  <si>
    <t>Brick sewer</t>
  </si>
  <si>
    <t>90 - 100</t>
  </si>
  <si>
    <t>Cast-Iron - new unlined (CIP)</t>
  </si>
  <si>
    <t>Cast-Iron 10 years old</t>
  </si>
  <si>
    <t>107 - 113</t>
  </si>
  <si>
    <t>Cast-Iron 20 years old</t>
  </si>
  <si>
    <t>89 - 100</t>
  </si>
  <si>
    <t>Cast-Iron 30 years old</t>
  </si>
  <si>
    <t>75 - 90</t>
  </si>
  <si>
    <t>Cast-Iron 40 years old</t>
  </si>
  <si>
    <t>64-83</t>
  </si>
  <si>
    <t>Cast-Iron, asphalt coated</t>
  </si>
  <si>
    <t>Cast-Iron, cement lined</t>
  </si>
  <si>
    <t>Cast-Iron, bituminous lined</t>
  </si>
  <si>
    <t>Cast-Iron, sea-coated</t>
  </si>
  <si>
    <t>Cast-Iron, wrought plain</t>
  </si>
  <si>
    <t>Cement lining</t>
  </si>
  <si>
    <t>Concrete</t>
  </si>
  <si>
    <t>100 - 140</t>
  </si>
  <si>
    <t>Concrete lined, steel forms</t>
  </si>
  <si>
    <t>Concrete lined, wooden forms</t>
  </si>
  <si>
    <t>Concrete, old</t>
  </si>
  <si>
    <t>100 - 110</t>
  </si>
  <si>
    <t>Copper</t>
  </si>
  <si>
    <t>Corrugated Metal</t>
  </si>
  <si>
    <t>Ductile Iron Pipe (DIP)</t>
  </si>
  <si>
    <t>Ductile Iron, cement lined</t>
  </si>
  <si>
    <t>Fiber</t>
  </si>
  <si>
    <t>Fiber Glass Pipe - FRP</t>
  </si>
  <si>
    <t>Galvanized iron</t>
  </si>
  <si>
    <t>Glass</t>
  </si>
  <si>
    <t>Lead</t>
  </si>
  <si>
    <t>Metal Pipes - Very to extremely smooth</t>
  </si>
  <si>
    <t>Plastic</t>
  </si>
  <si>
    <t>Polyethylene, PE, PEH</t>
  </si>
  <si>
    <t>Polyvinyl chloride, PVC, CPVC</t>
  </si>
  <si>
    <t>Smooth Pipes</t>
  </si>
  <si>
    <t>Steel new unlined</t>
  </si>
  <si>
    <t>140 - 150</t>
  </si>
  <si>
    <t>Steel, corrugated</t>
  </si>
  <si>
    <t>Steel, welded and seamless</t>
  </si>
  <si>
    <t>Steel, interior riveted, no projecting rivets</t>
  </si>
  <si>
    <t>Steel, projecting girth and horizontal rivets</t>
  </si>
  <si>
    <t>Steel, vitrified, spiral-riveted</t>
  </si>
  <si>
    <t>90 - 110</t>
  </si>
  <si>
    <t>Tin</t>
  </si>
  <si>
    <t>Vitrified Clay</t>
  </si>
  <si>
    <t>Wrought iron, plain</t>
  </si>
  <si>
    <t>Wooden or Masonry Pipe - Smooth</t>
  </si>
  <si>
    <t>Wood Stave</t>
  </si>
  <si>
    <t>110 - 120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</si>
</sst>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0.0000_);[Red]\(0.0000\)"/>
    <numFmt numFmtId="178" formatCode="0_);[Red]\(0\)"/>
    <numFmt numFmtId="180" formatCode="0.00_);[Red]\(0.00\)"/>
    <numFmt numFmtId="181" formatCode="0.00_ "/>
  </numFmts>
  <fonts count="11" x14ac:knownFonts="1">
    <font>
      <sz val="11"/>
      <color theme="1"/>
      <name val="Arial Unicode MS"/>
      <charset val="134"/>
    </font>
    <font>
      <b/>
      <sz val="8.8000000000000007"/>
      <color rgb="FF000000"/>
      <name val="Arial"/>
      <family val="2"/>
    </font>
    <font>
      <sz val="8.8000000000000007"/>
      <color rgb="FF000000"/>
      <name val="Arial"/>
      <family val="2"/>
    </font>
    <font>
      <b/>
      <sz val="14"/>
      <color theme="1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sz val="9"/>
      <color theme="1"/>
      <name val="Arial Unicode MS"/>
      <family val="2"/>
      <charset val="134"/>
    </font>
    <font>
      <sz val="12"/>
      <color theme="1"/>
      <name val="Arial Unicode MS"/>
      <family val="2"/>
      <charset val="134"/>
    </font>
    <font>
      <b/>
      <i/>
      <sz val="8.8000000000000007"/>
      <color rgb="FF000000"/>
      <name val="Arial"/>
      <family val="2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Arial Unicode MS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ck">
        <color rgb="FFC0C0C0"/>
      </left>
      <right style="medium">
        <color rgb="FFC0C0C0"/>
      </right>
      <top style="thick">
        <color rgb="FFC0C0C0"/>
      </top>
      <bottom/>
      <diagonal/>
    </border>
    <border>
      <left style="medium">
        <color rgb="FFC0C0C0"/>
      </left>
      <right style="thick">
        <color rgb="FFC0C0C0"/>
      </right>
      <top style="thick">
        <color rgb="FFC0C0C0"/>
      </top>
      <bottom/>
      <diagonal/>
    </border>
    <border>
      <left style="thick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thick">
        <color rgb="FFC0C0C0"/>
      </right>
      <top/>
      <bottom style="medium">
        <color rgb="FFC0C0C0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C0C0C0"/>
      </right>
      <top style="medium">
        <color rgb="FFCCCCCC"/>
      </top>
      <bottom style="medium">
        <color rgb="FFCCCCCC"/>
      </bottom>
      <diagonal/>
    </border>
    <border>
      <left style="thick">
        <color rgb="FFC0C0C0"/>
      </left>
      <right style="medium">
        <color rgb="FFCCCCCC"/>
      </right>
      <top style="medium">
        <color rgb="FFCCCCCC"/>
      </top>
      <bottom style="thick">
        <color rgb="FFC0C0C0"/>
      </bottom>
      <diagonal/>
    </border>
    <border>
      <left style="medium">
        <color rgb="FFCCCCCC"/>
      </left>
      <right style="thick">
        <color rgb="FFC0C0C0"/>
      </right>
      <top style="medium">
        <color rgb="FFCCCCCC"/>
      </top>
      <bottom style="thick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0" fillId="2" borderId="10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>
      <alignment vertical="center"/>
    </xf>
    <xf numFmtId="12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177" fontId="0" fillId="0" borderId="0" xfId="0" applyNumberFormat="1">
      <alignment vertical="center"/>
    </xf>
    <xf numFmtId="0" fontId="0" fillId="0" borderId="11" xfId="0" applyBorder="1">
      <alignment vertical="center"/>
    </xf>
    <xf numFmtId="14" fontId="0" fillId="2" borderId="10" xfId="0" applyNumberFormat="1" applyFont="1" applyFill="1" applyBorder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>
      <alignment vertical="center"/>
    </xf>
    <xf numFmtId="178" fontId="0" fillId="0" borderId="15" xfId="0" applyNumberFormat="1" applyBorder="1">
      <alignment vertical="center"/>
    </xf>
    <xf numFmtId="49" fontId="0" fillId="3" borderId="16" xfId="0" applyNumberFormat="1" applyFill="1" applyBorder="1">
      <alignment vertical="center"/>
    </xf>
    <xf numFmtId="180" fontId="0" fillId="3" borderId="16" xfId="0" applyNumberFormat="1" applyFill="1" applyBorder="1">
      <alignment vertical="center"/>
    </xf>
    <xf numFmtId="180" fontId="0" fillId="0" borderId="16" xfId="0" applyNumberFormat="1" applyFill="1" applyBorder="1">
      <alignment vertical="center"/>
    </xf>
    <xf numFmtId="12" fontId="0" fillId="3" borderId="16" xfId="0" applyNumberFormat="1" applyFill="1" applyBorder="1">
      <alignment vertical="center"/>
    </xf>
    <xf numFmtId="180" fontId="0" fillId="0" borderId="17" xfId="0" applyNumberFormat="1" applyBorder="1">
      <alignment vertical="center"/>
    </xf>
    <xf numFmtId="49" fontId="0" fillId="0" borderId="0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18" xfId="0" applyNumberFormat="1" applyBorder="1">
      <alignment vertical="center"/>
    </xf>
    <xf numFmtId="49" fontId="0" fillId="3" borderId="19" xfId="0" applyNumberFormat="1" applyFill="1" applyBorder="1">
      <alignment vertical="center"/>
    </xf>
    <xf numFmtId="180" fontId="0" fillId="0" borderId="19" xfId="0" applyNumberFormat="1" applyBorder="1">
      <alignment vertical="center"/>
    </xf>
    <xf numFmtId="180" fontId="5" fillId="5" borderId="17" xfId="0" applyNumberFormat="1" applyFont="1" applyFill="1" applyBorder="1">
      <alignment vertical="center"/>
    </xf>
    <xf numFmtId="49" fontId="0" fillId="5" borderId="0" xfId="0" applyNumberFormat="1" applyFill="1" applyBorder="1">
      <alignment vertical="center"/>
    </xf>
    <xf numFmtId="180" fontId="0" fillId="5" borderId="0" xfId="0" applyNumberFormat="1" applyFill="1" applyBorder="1">
      <alignment vertical="center"/>
    </xf>
    <xf numFmtId="0" fontId="6" fillId="0" borderId="0" xfId="0" applyFont="1">
      <alignment vertical="center"/>
    </xf>
    <xf numFmtId="180" fontId="3" fillId="0" borderId="0" xfId="0" applyNumberFormat="1" applyFont="1">
      <alignment vertical="center"/>
    </xf>
    <xf numFmtId="181" fontId="0" fillId="0" borderId="0" xfId="0" applyNumberForma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180" fontId="0" fillId="0" borderId="16" xfId="0" applyNumberFormat="1" applyBorder="1">
      <alignment vertical="center"/>
    </xf>
    <xf numFmtId="177" fontId="0" fillId="0" borderId="16" xfId="0" applyNumberFormat="1" applyBorder="1">
      <alignment vertical="center"/>
    </xf>
    <xf numFmtId="180" fontId="0" fillId="3" borderId="0" xfId="0" applyNumberFormat="1" applyFill="1" applyBorder="1">
      <alignment vertical="center"/>
    </xf>
    <xf numFmtId="180" fontId="0" fillId="3" borderId="19" xfId="0" applyNumberFormat="1" applyFill="1" applyBorder="1">
      <alignment vertical="center"/>
    </xf>
    <xf numFmtId="180" fontId="0" fillId="0" borderId="0" xfId="0" applyNumberFormat="1" applyFill="1" applyBorder="1">
      <alignment vertical="center"/>
    </xf>
    <xf numFmtId="0" fontId="4" fillId="4" borderId="21" xfId="0" applyFont="1" applyFill="1" applyBorder="1">
      <alignment vertical="center"/>
    </xf>
    <xf numFmtId="178" fontId="0" fillId="3" borderId="16" xfId="0" applyNumberFormat="1" applyFill="1" applyBorder="1">
      <alignment vertical="center"/>
    </xf>
    <xf numFmtId="180" fontId="0" fillId="0" borderId="20" xfId="0" applyNumberFormat="1" applyBorder="1">
      <alignment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0" fillId="5" borderId="23" xfId="0" applyFill="1" applyBorder="1">
      <alignment vertical="center"/>
    </xf>
    <xf numFmtId="180" fontId="0" fillId="0" borderId="20" xfId="0" applyNumberForma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4</xdr:row>
      <xdr:rowOff>180975</xdr:rowOff>
    </xdr:from>
    <xdr:to>
      <xdr:col>3</xdr:col>
      <xdr:colOff>561679</xdr:colOff>
      <xdr:row>8</xdr:row>
      <xdr:rowOff>38013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57250"/>
          <a:ext cx="2371090" cy="54229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8</xdr:row>
      <xdr:rowOff>180975</xdr:rowOff>
    </xdr:from>
    <xdr:to>
      <xdr:col>2</xdr:col>
      <xdr:colOff>314145</xdr:colOff>
      <xdr:row>10</xdr:row>
      <xdr:rowOff>57113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543050"/>
          <a:ext cx="1437640" cy="2184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11</xdr:col>
      <xdr:colOff>314029</xdr:colOff>
      <xdr:row>13</xdr:row>
      <xdr:rowOff>66588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781175"/>
          <a:ext cx="2371090" cy="58039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10</xdr:col>
      <xdr:colOff>66495</xdr:colOff>
      <xdr:row>15</xdr:row>
      <xdr:rowOff>85688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6400" y="2466975"/>
          <a:ext cx="1437640" cy="256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494895</xdr:colOff>
      <xdr:row>11</xdr:row>
      <xdr:rowOff>18790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3237865" cy="17329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4</xdr:col>
      <xdr:colOff>504419</xdr:colOff>
      <xdr:row>21</xdr:row>
      <xdr:rowOff>47383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57400"/>
          <a:ext cx="3247390" cy="159004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10</xdr:col>
      <xdr:colOff>561562</xdr:colOff>
      <xdr:row>5</xdr:row>
      <xdr:rowOff>28498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800" y="342900"/>
          <a:ext cx="3304540" cy="54229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10</xdr:col>
      <xdr:colOff>542514</xdr:colOff>
      <xdr:row>18</xdr:row>
      <xdr:rowOff>47305</xdr:rowOff>
    </xdr:to>
    <xdr:pic>
      <xdr:nvPicPr>
        <xdr:cNvPr id="6" name="图片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14800" y="1028700"/>
          <a:ext cx="3285490" cy="21043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104775</xdr:rowOff>
    </xdr:from>
    <xdr:to>
      <xdr:col>6</xdr:col>
      <xdr:colOff>180438</xdr:colOff>
      <xdr:row>34</xdr:row>
      <xdr:rowOff>171127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3876675"/>
          <a:ext cx="4295140" cy="212344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19</xdr:col>
      <xdr:colOff>113686</xdr:colOff>
      <xdr:row>35</xdr:row>
      <xdr:rowOff>170931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29600" y="2743200"/>
          <a:ext cx="4914265" cy="342836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17</xdr:col>
      <xdr:colOff>18619</xdr:colOff>
      <xdr:row>15</xdr:row>
      <xdr:rowOff>28205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29600" y="171450"/>
          <a:ext cx="3447415" cy="2428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10</xdr:col>
      <xdr:colOff>8667</xdr:colOff>
      <xdr:row>54</xdr:row>
      <xdr:rowOff>85269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6343650"/>
          <a:ext cx="6866255" cy="299974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38</xdr:row>
      <xdr:rowOff>0</xdr:rowOff>
    </xdr:from>
    <xdr:to>
      <xdr:col>15</xdr:col>
      <xdr:colOff>552038</xdr:colOff>
      <xdr:row>46</xdr:row>
      <xdr:rowOff>75981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543800" y="6515100"/>
          <a:ext cx="3295015" cy="144716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21</xdr:col>
      <xdr:colOff>447276</xdr:colOff>
      <xdr:row>54</xdr:row>
      <xdr:rowOff>85321</xdr:rowOff>
    </xdr:to>
    <xdr:pic>
      <xdr:nvPicPr>
        <xdr:cNvPr id="13" name="图片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658600" y="6686550"/>
          <a:ext cx="3190240" cy="2656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9</xdr:col>
      <xdr:colOff>284943</xdr:colOff>
      <xdr:row>78</xdr:row>
      <xdr:rowOff>37524</xdr:rowOff>
    </xdr:to>
    <xdr:pic>
      <xdr:nvPicPr>
        <xdr:cNvPr id="14" name="图片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9601200"/>
          <a:ext cx="6456680" cy="380936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57</xdr:row>
      <xdr:rowOff>0</xdr:rowOff>
    </xdr:from>
    <xdr:to>
      <xdr:col>15</xdr:col>
      <xdr:colOff>580609</xdr:colOff>
      <xdr:row>64</xdr:row>
      <xdr:rowOff>37917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43800" y="9772650"/>
          <a:ext cx="3323590" cy="123761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15</xdr:col>
      <xdr:colOff>475848</xdr:colOff>
      <xdr:row>75</xdr:row>
      <xdr:rowOff>152119</xdr:rowOff>
    </xdr:to>
    <xdr:pic>
      <xdr:nvPicPr>
        <xdr:cNvPr id="17" name="图片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543800" y="11144250"/>
          <a:ext cx="3218815" cy="186626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77</xdr:row>
      <xdr:rowOff>0</xdr:rowOff>
    </xdr:from>
    <xdr:to>
      <xdr:col>18</xdr:col>
      <xdr:colOff>247019</xdr:colOff>
      <xdr:row>86</xdr:row>
      <xdr:rowOff>133098</xdr:rowOff>
    </xdr:to>
    <xdr:pic>
      <xdr:nvPicPr>
        <xdr:cNvPr id="18" name="图片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543800" y="13201650"/>
          <a:ext cx="5047615" cy="16757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13</xdr:col>
      <xdr:colOff>418190</xdr:colOff>
      <xdr:row>16</xdr:row>
      <xdr:rowOff>38100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542925"/>
          <a:ext cx="7275830" cy="265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view="pageBreakPreview" topLeftCell="B22" zoomScaleNormal="100" zoomScaleSheetLayoutView="100" workbookViewId="0">
      <selection activeCell="K39" sqref="K39"/>
    </sheetView>
  </sheetViews>
  <sheetFormatPr defaultColWidth="9" defaultRowHeight="16.5" x14ac:dyDescent="0.3"/>
  <cols>
    <col min="1" max="1" width="12.375" customWidth="1"/>
    <col min="2" max="4" width="9.625" customWidth="1"/>
    <col min="6" max="6" width="10.875" customWidth="1"/>
    <col min="11" max="11" width="9.875" customWidth="1"/>
    <col min="13" max="13" width="8.25" customWidth="1"/>
    <col min="15" max="15" width="12.75" customWidth="1"/>
    <col min="18" max="18" width="8.875" customWidth="1"/>
    <col min="19" max="19" width="6.5" customWidth="1"/>
    <col min="20" max="20" width="12.25" customWidth="1"/>
  </cols>
  <sheetData>
    <row r="1" spans="1:8" ht="20.25" x14ac:dyDescent="0.3">
      <c r="A1" s="7" t="s">
        <v>0</v>
      </c>
      <c r="B1" s="8"/>
      <c r="C1" s="8"/>
      <c r="D1" s="8"/>
      <c r="E1" s="8"/>
      <c r="F1" s="8"/>
      <c r="G1" s="8"/>
      <c r="H1" s="8"/>
    </row>
    <row r="2" spans="1:8" x14ac:dyDescent="0.3">
      <c r="A2" s="8" t="s">
        <v>1</v>
      </c>
      <c r="B2" s="8"/>
      <c r="C2" s="8"/>
      <c r="D2" s="8"/>
      <c r="E2" s="8"/>
      <c r="F2" s="8"/>
      <c r="G2" s="8"/>
      <c r="H2" s="8"/>
    </row>
    <row r="3" spans="1:8" x14ac:dyDescent="0.3">
      <c r="A3" s="8"/>
      <c r="B3" s="8"/>
      <c r="C3" s="8"/>
      <c r="D3" s="8"/>
      <c r="E3" s="8"/>
      <c r="F3" s="8"/>
      <c r="G3" s="8"/>
      <c r="H3" s="8"/>
    </row>
    <row r="4" spans="1:8" x14ac:dyDescent="0.3">
      <c r="A4" s="8" t="s">
        <v>2</v>
      </c>
      <c r="B4" s="8"/>
      <c r="C4" s="8"/>
      <c r="D4" s="8"/>
      <c r="E4" s="8"/>
      <c r="F4" s="8"/>
      <c r="G4" s="8"/>
      <c r="H4" s="8"/>
    </row>
    <row r="5" spans="1:8" x14ac:dyDescent="0.3">
      <c r="A5" s="9" t="s">
        <v>3</v>
      </c>
      <c r="B5" s="10" t="s">
        <v>4</v>
      </c>
      <c r="C5" s="10"/>
      <c r="D5" s="10"/>
      <c r="E5" s="11"/>
      <c r="F5" s="12"/>
      <c r="G5" s="12"/>
      <c r="H5" s="8"/>
    </row>
    <row r="6" spans="1:8" x14ac:dyDescent="0.3">
      <c r="A6" s="9" t="s">
        <v>5</v>
      </c>
      <c r="B6" s="10" t="s">
        <v>6</v>
      </c>
      <c r="C6" s="10"/>
      <c r="D6" s="10"/>
      <c r="E6" s="11"/>
      <c r="F6" s="12"/>
      <c r="G6" s="12"/>
      <c r="H6" s="8"/>
    </row>
    <row r="7" spans="1:8" x14ac:dyDescent="0.3">
      <c r="A7" s="9" t="s">
        <v>7</v>
      </c>
      <c r="B7" s="10" t="s">
        <v>8</v>
      </c>
      <c r="C7" s="10"/>
      <c r="D7" s="10"/>
      <c r="E7" s="11"/>
      <c r="F7" s="12"/>
      <c r="G7" s="12"/>
      <c r="H7" s="8"/>
    </row>
    <row r="8" spans="1:8" x14ac:dyDescent="0.3">
      <c r="A8" s="9" t="s">
        <v>9</v>
      </c>
      <c r="B8" s="10" t="s">
        <v>10</v>
      </c>
      <c r="C8" s="10" t="s">
        <v>11</v>
      </c>
      <c r="D8" s="10"/>
      <c r="E8" s="11"/>
      <c r="F8" s="12"/>
      <c r="G8" s="12"/>
      <c r="H8" s="8"/>
    </row>
    <row r="9" spans="1:8" x14ac:dyDescent="0.3">
      <c r="A9" s="9" t="s">
        <v>12</v>
      </c>
      <c r="B9" s="10" t="s">
        <v>13</v>
      </c>
      <c r="C9" s="9" t="s">
        <v>14</v>
      </c>
      <c r="D9" s="20">
        <v>43496</v>
      </c>
      <c r="E9" s="11"/>
      <c r="F9" s="12"/>
      <c r="G9" s="12"/>
      <c r="H9" s="8"/>
    </row>
    <row r="10" spans="1:8" x14ac:dyDescent="0.3">
      <c r="A10" s="13" t="s">
        <v>15</v>
      </c>
      <c r="B10" s="14"/>
      <c r="D10" s="12" t="s">
        <v>16</v>
      </c>
      <c r="E10" s="12"/>
      <c r="F10" s="12"/>
      <c r="G10" s="12"/>
      <c r="H10" s="8"/>
    </row>
    <row r="11" spans="1:8" x14ac:dyDescent="0.3">
      <c r="A11" s="8" t="s">
        <v>17</v>
      </c>
      <c r="B11" s="12"/>
      <c r="C11" s="12"/>
      <c r="D11" s="15">
        <v>0.15</v>
      </c>
      <c r="E11" s="12" t="s">
        <v>18</v>
      </c>
      <c r="F11" s="12"/>
      <c r="G11" s="12"/>
      <c r="H11" s="8"/>
    </row>
    <row r="12" spans="1:8" x14ac:dyDescent="0.3">
      <c r="A12" s="8" t="s">
        <v>19</v>
      </c>
      <c r="B12" s="12"/>
      <c r="C12" s="12"/>
      <c r="D12" s="15">
        <f>21*22.5</f>
        <v>472.5</v>
      </c>
      <c r="E12" s="12" t="s">
        <v>20</v>
      </c>
      <c r="F12" s="12"/>
      <c r="G12" s="12"/>
      <c r="H12" s="8"/>
    </row>
    <row r="13" spans="1:8" x14ac:dyDescent="0.3">
      <c r="A13" s="8" t="s">
        <v>21</v>
      </c>
      <c r="B13" s="12"/>
      <c r="C13" s="12"/>
      <c r="D13" s="15">
        <f>D12*D11</f>
        <v>70.875</v>
      </c>
      <c r="E13" s="12"/>
      <c r="F13" s="12"/>
      <c r="G13" s="12"/>
      <c r="H13" s="8"/>
    </row>
    <row r="14" spans="1:8" x14ac:dyDescent="0.3">
      <c r="A14" s="8" t="s">
        <v>22</v>
      </c>
      <c r="B14" s="12"/>
      <c r="C14" s="12"/>
      <c r="D14" s="15">
        <v>5</v>
      </c>
      <c r="E14" s="12"/>
      <c r="F14" s="12"/>
      <c r="G14" s="12"/>
      <c r="H14" s="8"/>
    </row>
    <row r="15" spans="1:8" x14ac:dyDescent="0.3">
      <c r="A15" s="8" t="s">
        <v>23</v>
      </c>
      <c r="B15" s="12"/>
      <c r="C15" s="12"/>
      <c r="D15" s="15">
        <v>15</v>
      </c>
      <c r="E15" s="12" t="s">
        <v>24</v>
      </c>
      <c r="F15" s="12"/>
      <c r="G15" s="12"/>
      <c r="H15" s="8"/>
    </row>
    <row r="16" spans="1:8" x14ac:dyDescent="0.3">
      <c r="A16" s="8" t="s">
        <v>25</v>
      </c>
      <c r="D16">
        <f>D13/D14</f>
        <v>14.175000000000001</v>
      </c>
      <c r="E16" s="12" t="s">
        <v>26</v>
      </c>
      <c r="F16" s="12"/>
    </row>
    <row r="17" spans="1:21" x14ac:dyDescent="0.3">
      <c r="A17" s="8" t="s">
        <v>27</v>
      </c>
      <c r="D17" s="15">
        <v>2.5</v>
      </c>
      <c r="E17" s="12" t="s">
        <v>26</v>
      </c>
      <c r="F17" s="12"/>
    </row>
    <row r="18" spans="1:21" ht="49.5" customHeight="1" x14ac:dyDescent="0.3">
      <c r="A18" s="57" t="s">
        <v>28</v>
      </c>
      <c r="B18" s="22" t="s">
        <v>29</v>
      </c>
      <c r="C18" s="21" t="s">
        <v>30</v>
      </c>
      <c r="D18" s="58" t="s">
        <v>31</v>
      </c>
      <c r="E18" s="24" t="s">
        <v>32</v>
      </c>
      <c r="F18" s="24" t="s">
        <v>33</v>
      </c>
      <c r="G18" s="57" t="s">
        <v>34</v>
      </c>
      <c r="H18" s="57"/>
      <c r="I18" s="57" t="s">
        <v>35</v>
      </c>
      <c r="J18" s="57"/>
      <c r="K18" s="26" t="s">
        <v>36</v>
      </c>
      <c r="L18" s="44" t="s">
        <v>37</v>
      </c>
      <c r="M18" s="58" t="s">
        <v>38</v>
      </c>
      <c r="N18" s="58" t="s">
        <v>39</v>
      </c>
      <c r="O18" s="23" t="s">
        <v>40</v>
      </c>
      <c r="P18" s="58" t="s">
        <v>41</v>
      </c>
      <c r="Q18" s="58" t="s">
        <v>42</v>
      </c>
      <c r="R18" s="61" t="s">
        <v>43</v>
      </c>
      <c r="S18" s="62"/>
      <c r="T18" s="58" t="s">
        <v>44</v>
      </c>
      <c r="U18" t="s">
        <v>45</v>
      </c>
    </row>
    <row r="19" spans="1:21" x14ac:dyDescent="0.3">
      <c r="A19" s="57"/>
      <c r="B19" s="22" t="s">
        <v>46</v>
      </c>
      <c r="C19" s="21" t="s">
        <v>47</v>
      </c>
      <c r="D19" s="59"/>
      <c r="E19" s="22"/>
      <c r="F19" s="22"/>
      <c r="G19" s="26" t="s">
        <v>48</v>
      </c>
      <c r="H19" s="26" t="s">
        <v>49</v>
      </c>
      <c r="I19" s="26" t="s">
        <v>50</v>
      </c>
      <c r="J19" s="26" t="s">
        <v>51</v>
      </c>
      <c r="K19" s="26" t="s">
        <v>52</v>
      </c>
      <c r="L19" s="26" t="s">
        <v>53</v>
      </c>
      <c r="M19" s="59"/>
      <c r="N19" s="59"/>
      <c r="O19" s="25" t="s">
        <v>54</v>
      </c>
      <c r="P19" s="59"/>
      <c r="Q19" s="60"/>
      <c r="R19" s="63"/>
      <c r="S19" s="64"/>
      <c r="T19" s="59"/>
    </row>
    <row r="20" spans="1:21" x14ac:dyDescent="0.3">
      <c r="A20" s="26" t="s">
        <v>55</v>
      </c>
      <c r="B20" s="26" t="s">
        <v>29</v>
      </c>
      <c r="C20" s="26" t="s">
        <v>24</v>
      </c>
      <c r="D20" s="26"/>
      <c r="E20" s="26" t="s">
        <v>26</v>
      </c>
      <c r="F20" s="26" t="s">
        <v>26</v>
      </c>
      <c r="G20" s="26" t="s">
        <v>56</v>
      </c>
      <c r="H20" s="26" t="s">
        <v>57</v>
      </c>
      <c r="I20" s="26" t="s">
        <v>58</v>
      </c>
      <c r="J20" s="26" t="s">
        <v>24</v>
      </c>
      <c r="K20" s="26" t="s">
        <v>24</v>
      </c>
      <c r="L20" s="26" t="s">
        <v>59</v>
      </c>
      <c r="M20" s="26" t="s">
        <v>59</v>
      </c>
      <c r="N20" s="26" t="s">
        <v>59</v>
      </c>
      <c r="O20" s="26" t="s">
        <v>59</v>
      </c>
      <c r="P20" s="26" t="s">
        <v>59</v>
      </c>
      <c r="Q20" s="59"/>
      <c r="R20" s="26" t="s">
        <v>60</v>
      </c>
      <c r="S20" s="26" t="s">
        <v>61</v>
      </c>
      <c r="T20" s="26" t="s">
        <v>59</v>
      </c>
      <c r="U20" s="50" t="s">
        <v>62</v>
      </c>
    </row>
    <row r="21" spans="1:21" x14ac:dyDescent="0.3">
      <c r="A21" s="27">
        <v>1</v>
      </c>
      <c r="B21" s="28" t="s">
        <v>63</v>
      </c>
      <c r="C21" s="28" t="s">
        <v>64</v>
      </c>
      <c r="D21" s="28" t="s">
        <v>65</v>
      </c>
      <c r="E21" s="29">
        <f>$D$16</f>
        <v>14.175000000000001</v>
      </c>
      <c r="F21" s="30">
        <f>E21+$D$17</f>
        <v>16.675000000000001</v>
      </c>
      <c r="G21" s="31">
        <v>1</v>
      </c>
      <c r="H21" s="30">
        <f>HLOOKUP(G21,'PIPE CHART'!$C$2:$L$3,2,TRUE)</f>
        <v>1.0489999999999999</v>
      </c>
      <c r="I21" s="45" t="s">
        <v>66</v>
      </c>
      <c r="J21" s="29">
        <v>2.8</v>
      </c>
      <c r="K21" s="45">
        <v>10</v>
      </c>
      <c r="L21" s="46">
        <f>4.52*F21^1.85/(Q21^1.85*H21^4.87)</f>
        <v>9.2960470022012687E-2</v>
      </c>
      <c r="M21" s="45">
        <f>L21*K21</f>
        <v>0.92960470022012687</v>
      </c>
      <c r="N21" s="45">
        <f>0.4331*(C21-C23)</f>
        <v>0</v>
      </c>
      <c r="O21" s="45">
        <f>(E21/D21)^2</f>
        <v>6.4072265625000027</v>
      </c>
      <c r="P21" s="45">
        <f>M21+O21+N21</f>
        <v>7.3368312627201293</v>
      </c>
      <c r="Q21" s="51">
        <v>120</v>
      </c>
      <c r="R21" s="45">
        <f>E21*0.133*144*4/(3.14*H21*H21*60)</f>
        <v>5.237997865479926</v>
      </c>
      <c r="S21" s="45">
        <f>R21/3.3</f>
        <v>1.5872720804484626</v>
      </c>
      <c r="T21" s="52">
        <f>0.5*1.94*R21*R21/144</f>
        <v>0.18481613187228535</v>
      </c>
      <c r="U21" s="52"/>
    </row>
    <row r="22" spans="1:21" x14ac:dyDescent="0.3">
      <c r="A22" s="32"/>
      <c r="B22" s="33" t="s">
        <v>67</v>
      </c>
      <c r="C22" s="33"/>
      <c r="D22" s="33"/>
      <c r="E22" s="34"/>
      <c r="F22" s="34"/>
      <c r="G22" s="34"/>
      <c r="H22" s="34"/>
      <c r="I22" s="34" t="s">
        <v>68</v>
      </c>
      <c r="J22" s="47">
        <v>3.5</v>
      </c>
      <c r="K22" s="34"/>
      <c r="L22" s="34"/>
      <c r="M22" s="34"/>
      <c r="N22" s="34"/>
      <c r="O22" s="34"/>
      <c r="P22" s="34"/>
      <c r="Q22" s="34"/>
      <c r="R22" s="34"/>
      <c r="S22" s="34"/>
      <c r="T22" s="53"/>
      <c r="U22" s="53"/>
    </row>
    <row r="23" spans="1:21" x14ac:dyDescent="0.3">
      <c r="A23" s="35"/>
      <c r="B23" s="36" t="s">
        <v>69</v>
      </c>
      <c r="C23" s="36" t="s">
        <v>64</v>
      </c>
      <c r="D23" s="37"/>
      <c r="E23" s="37"/>
      <c r="F23" s="37"/>
      <c r="G23" s="37"/>
      <c r="H23" s="37"/>
      <c r="I23" s="37" t="s">
        <v>70</v>
      </c>
      <c r="J23" s="48">
        <v>4</v>
      </c>
      <c r="K23" s="37"/>
      <c r="L23" s="37"/>
      <c r="M23" s="37"/>
      <c r="N23" s="37"/>
      <c r="O23" s="37"/>
      <c r="P23" s="37"/>
      <c r="Q23" s="37"/>
      <c r="R23" s="37"/>
      <c r="S23" s="37"/>
      <c r="T23" s="54"/>
      <c r="U23" s="54"/>
    </row>
    <row r="24" spans="1:21" x14ac:dyDescent="0.3">
      <c r="A24" s="27">
        <f>A21+1</f>
        <v>2</v>
      </c>
      <c r="B24" s="28" t="s">
        <v>69</v>
      </c>
      <c r="C24" s="28" t="s">
        <v>64</v>
      </c>
      <c r="D24" s="28" t="s">
        <v>65</v>
      </c>
      <c r="E24" s="30">
        <f>D24*SQRT(P21)</f>
        <v>15.168488006353938</v>
      </c>
      <c r="F24" s="30">
        <f>F21+E24</f>
        <v>31.843488006353937</v>
      </c>
      <c r="G24" s="31">
        <v>1.5</v>
      </c>
      <c r="H24" s="30">
        <f>HLOOKUP(G24,'PIPE CHART'!$C$2:$L$3,2,TRUE)</f>
        <v>1.61</v>
      </c>
      <c r="I24" s="45" t="s">
        <v>66</v>
      </c>
      <c r="J24" s="29">
        <v>2.2000000000000002</v>
      </c>
      <c r="K24" s="45">
        <v>10</v>
      </c>
      <c r="L24" s="46">
        <f>4.52*(F24^1.85)/(Q24^1.85*H24^4.87)</f>
        <v>3.8194364072510291E-2</v>
      </c>
      <c r="M24" s="45">
        <f>L24*K24</f>
        <v>0.3819436407251029</v>
      </c>
      <c r="N24" s="45">
        <f>0.4331*(C24-C26)</f>
        <v>0</v>
      </c>
      <c r="O24" s="45">
        <f>P21</f>
        <v>7.3368312627201293</v>
      </c>
      <c r="P24" s="45">
        <f>M24+O24+N24</f>
        <v>7.7187749034452322</v>
      </c>
      <c r="Q24" s="51">
        <v>120</v>
      </c>
      <c r="R24" s="45">
        <f>F24*0.133*144*4/(3.14*H24*H24*60)</f>
        <v>4.9953061060484245</v>
      </c>
      <c r="S24" s="45">
        <f>R24/3.3</f>
        <v>1.5137291230449772</v>
      </c>
      <c r="T24" s="52">
        <f>0.5*1.94*R24*R24/144</f>
        <v>0.16808674028007592</v>
      </c>
      <c r="U24" s="52"/>
    </row>
    <row r="25" spans="1:21" x14ac:dyDescent="0.3">
      <c r="A25" s="32"/>
      <c r="B25" s="33" t="s">
        <v>67</v>
      </c>
      <c r="C25" s="33"/>
      <c r="D25" s="33"/>
      <c r="E25" s="34"/>
      <c r="F25" s="34"/>
      <c r="G25" s="34"/>
      <c r="H25" s="34"/>
      <c r="I25" s="34" t="s">
        <v>68</v>
      </c>
      <c r="J25" s="47">
        <v>3.5</v>
      </c>
      <c r="K25" s="34"/>
      <c r="L25" s="34"/>
      <c r="M25" s="34"/>
      <c r="N25" s="34"/>
      <c r="O25" s="34"/>
      <c r="P25" s="34"/>
      <c r="Q25" s="34"/>
      <c r="R25" s="34"/>
      <c r="S25" s="34"/>
      <c r="T25" s="53"/>
      <c r="U25" s="53"/>
    </row>
    <row r="26" spans="1:21" x14ac:dyDescent="0.3">
      <c r="A26" s="35"/>
      <c r="B26" s="36" t="s">
        <v>71</v>
      </c>
      <c r="C26" s="36" t="s">
        <v>64</v>
      </c>
      <c r="D26" s="37"/>
      <c r="E26" s="37"/>
      <c r="F26" s="37"/>
      <c r="G26" s="37"/>
      <c r="H26" s="37"/>
      <c r="I26" s="37" t="s">
        <v>70</v>
      </c>
      <c r="J26" s="48">
        <v>4</v>
      </c>
      <c r="K26" s="37"/>
      <c r="L26" s="37"/>
      <c r="M26" s="37"/>
      <c r="N26" s="37"/>
      <c r="O26" s="37"/>
      <c r="P26" s="37"/>
      <c r="Q26" s="37"/>
      <c r="R26" s="37"/>
      <c r="S26" s="37"/>
      <c r="T26" s="54"/>
      <c r="U26" s="54"/>
    </row>
    <row r="27" spans="1:21" x14ac:dyDescent="0.3">
      <c r="A27" s="27">
        <f>A24+1</f>
        <v>3</v>
      </c>
      <c r="B27" s="28" t="s">
        <v>71</v>
      </c>
      <c r="C27" s="28" t="s">
        <v>64</v>
      </c>
      <c r="D27" s="28" t="s">
        <v>65</v>
      </c>
      <c r="E27" s="30">
        <f>D27*SQRT(P24)</f>
        <v>15.558302637885744</v>
      </c>
      <c r="F27" s="30">
        <f>F24+E27</f>
        <v>47.401790644239682</v>
      </c>
      <c r="G27" s="31">
        <v>1.5</v>
      </c>
      <c r="H27" s="30">
        <f>HLOOKUP(G27,'PIPE CHART'!$C$2:$L$3,2,TRUE)</f>
        <v>1.61</v>
      </c>
      <c r="I27" s="45" t="s">
        <v>66</v>
      </c>
      <c r="J27" s="29">
        <v>1.9</v>
      </c>
      <c r="K27" s="45">
        <v>10</v>
      </c>
      <c r="L27" s="46">
        <f>4.52*(F27^1.85)/(Q27^1.85*H27^4.87)</f>
        <v>7.9731768450401155E-2</v>
      </c>
      <c r="M27" s="45">
        <f>L27*K27</f>
        <v>0.79731768450401153</v>
      </c>
      <c r="N27" s="45">
        <f>0.4331*(C27-C29)</f>
        <v>0</v>
      </c>
      <c r="O27" s="45">
        <f>P24</f>
        <v>7.7187749034452322</v>
      </c>
      <c r="P27" s="45">
        <f>M27+O27+N27</f>
        <v>8.5160925879492435</v>
      </c>
      <c r="Q27" s="51">
        <v>120</v>
      </c>
      <c r="R27" s="45">
        <f>F27*0.133*144*4/(3.14*H27*H27*60)</f>
        <v>7.4359459050325158</v>
      </c>
      <c r="S27" s="45">
        <f>R27/3.3</f>
        <v>2.2533169409189444</v>
      </c>
      <c r="T27" s="52">
        <f>0.5*1.94*R27*R27/144</f>
        <v>0.37246175526036629</v>
      </c>
      <c r="U27" s="52"/>
    </row>
    <row r="28" spans="1:21" x14ac:dyDescent="0.3">
      <c r="A28" s="32"/>
      <c r="B28" s="33" t="s">
        <v>67</v>
      </c>
      <c r="C28" s="33"/>
      <c r="D28" s="33"/>
      <c r="E28" s="34"/>
      <c r="F28" s="34"/>
      <c r="G28" s="34"/>
      <c r="H28" s="34"/>
      <c r="I28" s="34" t="s">
        <v>68</v>
      </c>
      <c r="J28" s="47">
        <v>3.5</v>
      </c>
      <c r="K28" s="34"/>
      <c r="L28" s="34"/>
      <c r="M28" s="34"/>
      <c r="N28" s="34"/>
      <c r="O28" s="34"/>
      <c r="P28" s="34"/>
      <c r="Q28" s="34"/>
      <c r="R28" s="34"/>
      <c r="S28" s="34"/>
      <c r="T28" s="53"/>
      <c r="U28" s="53"/>
    </row>
    <row r="29" spans="1:21" x14ac:dyDescent="0.3">
      <c r="A29" s="35"/>
      <c r="B29" s="36" t="s">
        <v>72</v>
      </c>
      <c r="C29" s="36" t="s">
        <v>64</v>
      </c>
      <c r="D29" s="37"/>
      <c r="E29" s="37"/>
      <c r="F29" s="37"/>
      <c r="G29" s="37"/>
      <c r="H29" s="37"/>
      <c r="I29" s="37" t="s">
        <v>70</v>
      </c>
      <c r="J29" s="48">
        <v>4</v>
      </c>
      <c r="K29" s="37"/>
      <c r="L29" s="37"/>
      <c r="M29" s="37"/>
      <c r="N29" s="37"/>
      <c r="O29" s="37"/>
      <c r="P29" s="37"/>
      <c r="Q29" s="37"/>
      <c r="R29" s="37"/>
      <c r="S29" s="37"/>
      <c r="T29" s="54"/>
      <c r="U29" s="54"/>
    </row>
    <row r="30" spans="1:21" x14ac:dyDescent="0.3">
      <c r="A30" s="27">
        <f>A27+1</f>
        <v>4</v>
      </c>
      <c r="B30" s="28" t="s">
        <v>73</v>
      </c>
      <c r="C30" s="28" t="s">
        <v>64</v>
      </c>
      <c r="D30" s="28" t="s">
        <v>65</v>
      </c>
      <c r="E30" s="29">
        <f>$D$16</f>
        <v>14.175000000000001</v>
      </c>
      <c r="F30" s="30">
        <f>E30+$D$17</f>
        <v>16.675000000000001</v>
      </c>
      <c r="G30" s="31">
        <v>1</v>
      </c>
      <c r="H30" s="30">
        <f>HLOOKUP(G30,'PIPE CHART'!$C$2:$L$3,2,TRUE)</f>
        <v>1.0489999999999999</v>
      </c>
      <c r="I30" s="45" t="s">
        <v>66</v>
      </c>
      <c r="J30" s="29">
        <v>2.8</v>
      </c>
      <c r="K30" s="45">
        <v>10</v>
      </c>
      <c r="L30" s="46">
        <f>4.52*F30^1.85/(Q30^1.85*H30^4.87)</f>
        <v>9.2960470022012687E-2</v>
      </c>
      <c r="M30" s="45">
        <f>L30*K30</f>
        <v>0.92960470022012687</v>
      </c>
      <c r="N30" s="45">
        <f>0.4331*(C30-C32)</f>
        <v>0</v>
      </c>
      <c r="O30" s="45">
        <f>(E30/D30)^2</f>
        <v>6.4072265625000027</v>
      </c>
      <c r="P30" s="45">
        <f>M30+O30+N30</f>
        <v>7.3368312627201293</v>
      </c>
      <c r="Q30" s="51">
        <v>120</v>
      </c>
      <c r="R30" s="45">
        <f>E30*0.133*144*4/(3.14*H30*H30*60)</f>
        <v>5.237997865479926</v>
      </c>
      <c r="S30" s="45">
        <f>R30/3.3</f>
        <v>1.5872720804484626</v>
      </c>
      <c r="T30" s="52">
        <f>0.5*1.94*R30*R30/144</f>
        <v>0.18481613187228535</v>
      </c>
      <c r="U30" s="52"/>
    </row>
    <row r="31" spans="1:21" x14ac:dyDescent="0.3">
      <c r="A31" s="32"/>
      <c r="B31" s="33" t="s">
        <v>67</v>
      </c>
      <c r="C31" s="33"/>
      <c r="D31" s="33"/>
      <c r="E31" s="34"/>
      <c r="F31" s="34"/>
      <c r="G31" s="34"/>
      <c r="H31" s="34"/>
      <c r="I31" s="34" t="s">
        <v>68</v>
      </c>
      <c r="J31" s="47">
        <v>3.5</v>
      </c>
      <c r="K31" s="34"/>
      <c r="L31" s="34"/>
      <c r="M31" s="34"/>
      <c r="N31" s="34"/>
      <c r="O31" s="34"/>
      <c r="P31" s="34"/>
      <c r="Q31" s="34"/>
      <c r="R31" s="34"/>
      <c r="S31" s="34"/>
      <c r="T31" s="53"/>
      <c r="U31" s="53"/>
    </row>
    <row r="32" spans="1:21" x14ac:dyDescent="0.3">
      <c r="A32" s="35"/>
      <c r="B32" s="36" t="s">
        <v>72</v>
      </c>
      <c r="C32" s="36" t="s">
        <v>64</v>
      </c>
      <c r="D32" s="37"/>
      <c r="E32" s="37"/>
      <c r="F32" s="37"/>
      <c r="G32" s="37"/>
      <c r="H32" s="37"/>
      <c r="I32" s="37" t="s">
        <v>70</v>
      </c>
      <c r="J32" s="48">
        <v>4</v>
      </c>
      <c r="K32" s="37"/>
      <c r="L32" s="37"/>
      <c r="M32" s="37"/>
      <c r="N32" s="37"/>
      <c r="O32" s="37"/>
      <c r="P32" s="37"/>
      <c r="Q32" s="37"/>
      <c r="R32" s="37"/>
      <c r="S32" s="37"/>
      <c r="T32" s="54"/>
      <c r="U32" s="54"/>
    </row>
    <row r="33" spans="1:21" x14ac:dyDescent="0.3">
      <c r="A33" s="27">
        <f>A30+1</f>
        <v>5</v>
      </c>
      <c r="B33" s="28" t="s">
        <v>74</v>
      </c>
      <c r="C33" s="28" t="s">
        <v>64</v>
      </c>
      <c r="D33" s="28" t="s">
        <v>65</v>
      </c>
      <c r="E33" s="30">
        <f>D33*SQRT(P30)</f>
        <v>15.168488006353938</v>
      </c>
      <c r="F33" s="30">
        <f>E33+$D$17</f>
        <v>17.66848800635394</v>
      </c>
      <c r="G33" s="31">
        <v>1.5</v>
      </c>
      <c r="H33" s="30">
        <f>HLOOKUP(G33,'PIPE CHART'!$C$2:$L$3,2,TRUE)</f>
        <v>1.61</v>
      </c>
      <c r="I33" s="45" t="s">
        <v>66</v>
      </c>
      <c r="J33" s="29">
        <v>2.8</v>
      </c>
      <c r="K33" s="45">
        <v>10</v>
      </c>
      <c r="L33" s="46">
        <f>4.52*F33^1.85/(Q33^1.85*H33^4.87)</f>
        <v>1.2844877816419666E-2</v>
      </c>
      <c r="M33" s="45">
        <f>L33*K33</f>
        <v>0.12844877816419664</v>
      </c>
      <c r="N33" s="45">
        <f>0.4331*(C33-C35)</f>
        <v>0</v>
      </c>
      <c r="O33" s="45">
        <f>(E33/D33)^2</f>
        <v>7.3368312627201302</v>
      </c>
      <c r="P33" s="45">
        <f>M33+O33+N33</f>
        <v>7.465280040884327</v>
      </c>
      <c r="Q33" s="51">
        <v>120</v>
      </c>
      <c r="R33" s="45">
        <f>E33*0.133*144*4/(3.14*H33*H33*60)</f>
        <v>2.3794893556429177</v>
      </c>
      <c r="S33" s="45">
        <f>R33/3.3</f>
        <v>0.72105738049785395</v>
      </c>
      <c r="T33" s="52">
        <f>0.5*1.94*R33*R33/144</f>
        <v>3.8139656290343119E-2</v>
      </c>
      <c r="U33" s="52"/>
    </row>
    <row r="34" spans="1:21" x14ac:dyDescent="0.3">
      <c r="A34" s="32"/>
      <c r="B34" s="33" t="s">
        <v>67</v>
      </c>
      <c r="C34" s="33"/>
      <c r="D34" s="33"/>
      <c r="E34" s="34"/>
      <c r="F34" s="34"/>
      <c r="G34" s="34"/>
      <c r="H34" s="34"/>
      <c r="I34" s="34" t="s">
        <v>68</v>
      </c>
      <c r="J34" s="47">
        <v>3.5</v>
      </c>
      <c r="K34" s="34"/>
      <c r="L34" s="34"/>
      <c r="M34" s="34"/>
      <c r="N34" s="34"/>
      <c r="O34" s="34"/>
      <c r="P34" s="34"/>
      <c r="Q34" s="34"/>
      <c r="R34" s="34"/>
      <c r="S34" s="34"/>
      <c r="T34" s="53"/>
      <c r="U34" s="53"/>
    </row>
    <row r="35" spans="1:21" x14ac:dyDescent="0.3">
      <c r="A35" s="35"/>
      <c r="B35" s="36" t="s">
        <v>75</v>
      </c>
      <c r="C35" s="36" t="s">
        <v>64</v>
      </c>
      <c r="D35" s="37"/>
      <c r="E35" s="37"/>
      <c r="F35" s="37"/>
      <c r="G35" s="37"/>
      <c r="H35" s="37"/>
      <c r="I35" s="37" t="s">
        <v>70</v>
      </c>
      <c r="J35" s="48">
        <v>4</v>
      </c>
      <c r="K35" s="37"/>
      <c r="L35" s="37"/>
      <c r="M35" s="37"/>
      <c r="N35" s="37"/>
      <c r="O35" s="37"/>
      <c r="P35" s="37"/>
      <c r="Q35" s="37"/>
      <c r="R35" s="37"/>
      <c r="S35" s="37"/>
      <c r="T35" s="54"/>
      <c r="U35" s="54"/>
    </row>
    <row r="36" spans="1:21" ht="10.5" customHeight="1" x14ac:dyDescent="0.3">
      <c r="A36" s="38" t="s">
        <v>76</v>
      </c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55"/>
    </row>
    <row r="37" spans="1:21" x14ac:dyDescent="0.3">
      <c r="A37" s="27">
        <f>A24+1</f>
        <v>3</v>
      </c>
      <c r="B37" s="28" t="s">
        <v>72</v>
      </c>
      <c r="C37" s="28" t="s">
        <v>64</v>
      </c>
      <c r="D37" s="30"/>
      <c r="E37" s="30"/>
      <c r="F37" s="30">
        <f>F27+F33</f>
        <v>65.070278650593622</v>
      </c>
      <c r="G37" s="31">
        <v>1.5</v>
      </c>
      <c r="H37" s="30">
        <f>HLOOKUP(G37,'PIPE CHART'!$C$2:$L$3,2,TRUE)</f>
        <v>1.61</v>
      </c>
      <c r="I37" s="45" t="s">
        <v>66</v>
      </c>
      <c r="J37" s="29">
        <f>3.8+6.9+21.3</f>
        <v>32</v>
      </c>
      <c r="K37" s="45">
        <f>SUM(J37:J39)</f>
        <v>35.5</v>
      </c>
      <c r="L37" s="46">
        <f>4.52*(F37^1.85)/(Q37^1.85*H37^4.87)</f>
        <v>0.14327454779516088</v>
      </c>
      <c r="M37" s="45">
        <f>L37*K37</f>
        <v>5.0862464467282118</v>
      </c>
      <c r="N37" s="45">
        <f>0.4331*(C37-C39)</f>
        <v>0</v>
      </c>
      <c r="O37" s="45">
        <f>P24</f>
        <v>7.7187749034452322</v>
      </c>
      <c r="P37" s="45">
        <f>M37+O37+N37</f>
        <v>12.805021350173444</v>
      </c>
      <c r="Q37" s="51">
        <v>120</v>
      </c>
      <c r="R37" s="45">
        <f>F37*0.133*144*4/(3.14*H37*H37*60)</f>
        <v>10.207611685024085</v>
      </c>
      <c r="S37" s="45">
        <f>R37/3.3</f>
        <v>3.093215662128511</v>
      </c>
      <c r="T37" s="52">
        <f>0.5*1.94*R37*R37/144</f>
        <v>0.70187136265884054</v>
      </c>
      <c r="U37" s="52"/>
    </row>
    <row r="38" spans="1:21" x14ac:dyDescent="0.3">
      <c r="A38" s="32"/>
      <c r="B38" s="33" t="s">
        <v>67</v>
      </c>
      <c r="C38" s="33"/>
      <c r="D38" s="33"/>
      <c r="E38" s="34"/>
      <c r="F38" s="34"/>
      <c r="G38" s="34"/>
      <c r="H38" s="34"/>
      <c r="I38" s="34" t="s">
        <v>68</v>
      </c>
      <c r="J38" s="47">
        <v>3.5</v>
      </c>
      <c r="K38" s="34"/>
      <c r="L38" s="34"/>
      <c r="M38" s="34"/>
      <c r="N38" s="34"/>
      <c r="O38" s="34"/>
      <c r="P38" s="34"/>
      <c r="Q38" s="34"/>
      <c r="R38" s="34"/>
      <c r="S38" s="34"/>
      <c r="T38" s="53"/>
      <c r="U38" s="53"/>
    </row>
    <row r="39" spans="1:21" x14ac:dyDescent="0.3">
      <c r="A39" s="35"/>
      <c r="B39" s="36" t="s">
        <v>75</v>
      </c>
      <c r="C39" s="28" t="s">
        <v>64</v>
      </c>
      <c r="D39" s="37"/>
      <c r="E39" s="37"/>
      <c r="F39" s="37"/>
      <c r="G39" s="37"/>
      <c r="H39" s="37"/>
      <c r="I39" s="37" t="s">
        <v>70</v>
      </c>
      <c r="J39" s="48"/>
      <c r="K39" s="37"/>
      <c r="L39" s="37"/>
      <c r="M39" s="37"/>
      <c r="N39" s="37"/>
      <c r="O39" s="37"/>
      <c r="P39" s="37"/>
      <c r="Q39" s="37"/>
      <c r="R39" s="37"/>
      <c r="S39" s="37"/>
      <c r="T39" s="54"/>
      <c r="U39" s="54"/>
    </row>
    <row r="40" spans="1:21" x14ac:dyDescent="0.3">
      <c r="A40" s="27">
        <f>A37+1</f>
        <v>4</v>
      </c>
      <c r="B40" s="28" t="s">
        <v>75</v>
      </c>
      <c r="C40" s="28" t="s">
        <v>77</v>
      </c>
      <c r="D40" s="30"/>
      <c r="E40" s="30"/>
      <c r="F40" s="30">
        <f>F37</f>
        <v>65.070278650593622</v>
      </c>
      <c r="G40" s="31">
        <v>1.25</v>
      </c>
      <c r="H40" s="30">
        <f>HLOOKUP(G40,'PIPE CHART'!$C$2:$L$3,2,TRUE)</f>
        <v>1.38</v>
      </c>
      <c r="I40" s="45" t="s">
        <v>78</v>
      </c>
      <c r="J40" s="29">
        <v>1</v>
      </c>
      <c r="K40" s="45">
        <f>SUM(J40:J42)</f>
        <v>4.5</v>
      </c>
      <c r="L40" s="46">
        <f>4.52*(F40^1.85)/(Q40^1.85*H40^4.87)</f>
        <v>0.30352880487955963</v>
      </c>
      <c r="M40" s="45">
        <f>L40*K40</f>
        <v>1.3658796219580183</v>
      </c>
      <c r="N40" s="45">
        <f>0.4331*(C40-C42)</f>
        <v>3.5947300000000046</v>
      </c>
      <c r="O40" s="45">
        <f>P37</f>
        <v>12.805021350173444</v>
      </c>
      <c r="P40" s="45">
        <f>M40+O40+N40</f>
        <v>17.765630972131468</v>
      </c>
      <c r="Q40" s="51">
        <v>120</v>
      </c>
      <c r="R40" s="45">
        <f>F40*0.133*144*4/(3.14*H40*H40*60)</f>
        <v>13.893693682393897</v>
      </c>
      <c r="S40" s="45">
        <f>R40/3.3</f>
        <v>4.2102102067860292</v>
      </c>
      <c r="T40" s="52">
        <f>0.5*1.94*R40*R40/144</f>
        <v>1.3003033501110162</v>
      </c>
      <c r="U40" s="52"/>
    </row>
    <row r="41" spans="1:21" x14ac:dyDescent="0.3">
      <c r="A41" s="32"/>
      <c r="B41" s="33" t="s">
        <v>67</v>
      </c>
      <c r="C41" s="33"/>
      <c r="D41" s="33"/>
      <c r="E41" s="34"/>
      <c r="F41" s="34"/>
      <c r="G41" s="34"/>
      <c r="H41" s="34"/>
      <c r="I41" s="34" t="s">
        <v>68</v>
      </c>
      <c r="J41" s="47">
        <v>3.5</v>
      </c>
      <c r="K41" s="34"/>
      <c r="L41" s="34"/>
      <c r="M41" s="34"/>
      <c r="N41" s="34"/>
      <c r="O41" s="34"/>
      <c r="P41" s="34"/>
      <c r="Q41" s="34"/>
      <c r="R41" s="34"/>
      <c r="S41" s="34"/>
      <c r="T41" s="53"/>
      <c r="U41" s="53"/>
    </row>
    <row r="42" spans="1:21" x14ac:dyDescent="0.3">
      <c r="A42" s="35"/>
      <c r="B42" s="36" t="s">
        <v>79</v>
      </c>
      <c r="C42" s="36" t="s">
        <v>80</v>
      </c>
      <c r="D42" s="37"/>
      <c r="E42" s="37"/>
      <c r="F42" s="37"/>
      <c r="G42" s="37"/>
      <c r="H42" s="37"/>
      <c r="I42" s="37" t="s">
        <v>70</v>
      </c>
      <c r="J42" s="48"/>
      <c r="K42" s="37"/>
      <c r="L42" s="37"/>
      <c r="M42" s="37"/>
      <c r="N42" s="37"/>
      <c r="O42" s="37"/>
      <c r="P42" s="37"/>
      <c r="Q42" s="37"/>
      <c r="R42" s="37"/>
      <c r="S42" s="37"/>
      <c r="T42" s="54"/>
      <c r="U42" s="54"/>
    </row>
    <row r="43" spans="1:21" x14ac:dyDescent="0.3">
      <c r="A43" s="27">
        <f>A40+1</f>
        <v>5</v>
      </c>
      <c r="B43" s="28" t="s">
        <v>79</v>
      </c>
      <c r="C43" s="28" t="s">
        <v>80</v>
      </c>
      <c r="D43" s="30"/>
      <c r="E43" s="30"/>
      <c r="F43" s="30">
        <f>F40</f>
        <v>65.070278650593622</v>
      </c>
      <c r="G43" s="31">
        <v>1.25</v>
      </c>
      <c r="H43" s="30">
        <f>HLOOKUP(G43,'PIPE CHART'!$C$2:$L$3,2,TRUE)</f>
        <v>1.38</v>
      </c>
      <c r="I43" s="45" t="s">
        <v>78</v>
      </c>
      <c r="J43" s="29">
        <v>3.8</v>
      </c>
      <c r="K43" s="45">
        <f>SUM(J43:J45)</f>
        <v>7.3</v>
      </c>
      <c r="L43" s="46">
        <f>4.52*(F43^1.85)/(Q43^1.85*H43^4.87)</f>
        <v>0.30352880487955963</v>
      </c>
      <c r="M43" s="45">
        <f>L43*K43</f>
        <v>2.2157602756207853</v>
      </c>
      <c r="N43" s="45">
        <f>0.4331*(C43-C45)</f>
        <v>0</v>
      </c>
      <c r="O43" s="45">
        <f>P40</f>
        <v>17.765630972131468</v>
      </c>
      <c r="P43" s="45">
        <f>M43+O43+N43</f>
        <v>19.981391247752253</v>
      </c>
      <c r="Q43" s="51">
        <v>120</v>
      </c>
      <c r="R43" s="45">
        <f>F43*0.133*144*4/(3.14*H43*H43*60)</f>
        <v>13.893693682393897</v>
      </c>
      <c r="S43" s="45">
        <f>R43/3.3</f>
        <v>4.2102102067860292</v>
      </c>
      <c r="T43" s="52">
        <f>0.5*1.94*R43*R43/144</f>
        <v>1.3003033501110162</v>
      </c>
      <c r="U43" s="52"/>
    </row>
    <row r="44" spans="1:21" x14ac:dyDescent="0.3">
      <c r="A44" s="32"/>
      <c r="B44" s="33" t="s">
        <v>67</v>
      </c>
      <c r="C44" s="33"/>
      <c r="D44" s="33"/>
      <c r="E44" s="34"/>
      <c r="F44" s="34"/>
      <c r="G44" s="34"/>
      <c r="H44" s="34"/>
      <c r="I44" s="34" t="s">
        <v>68</v>
      </c>
      <c r="J44" s="47">
        <v>3.5</v>
      </c>
      <c r="K44" s="34"/>
      <c r="L44" s="34"/>
      <c r="M44" s="34"/>
      <c r="N44" s="34"/>
      <c r="O44" s="34"/>
      <c r="P44" s="34"/>
      <c r="Q44" s="34"/>
      <c r="R44" s="34"/>
      <c r="S44" s="34"/>
      <c r="T44" s="53"/>
      <c r="U44" s="53"/>
    </row>
    <row r="45" spans="1:21" x14ac:dyDescent="0.3">
      <c r="A45" s="35"/>
      <c r="B45" s="36" t="s">
        <v>81</v>
      </c>
      <c r="C45" s="36" t="s">
        <v>80</v>
      </c>
      <c r="D45" s="37"/>
      <c r="E45" s="37"/>
      <c r="F45" s="37"/>
      <c r="G45" s="37"/>
      <c r="H45" s="37"/>
      <c r="I45" s="37" t="s">
        <v>70</v>
      </c>
      <c r="J45" s="48"/>
      <c r="K45" s="37"/>
      <c r="L45" s="37"/>
      <c r="M45" s="37"/>
      <c r="N45" s="37"/>
      <c r="O45" s="37"/>
      <c r="P45" s="37"/>
      <c r="Q45" s="37"/>
      <c r="R45" s="37"/>
      <c r="S45" s="37"/>
      <c r="T45" s="54"/>
      <c r="U45" s="54"/>
    </row>
    <row r="46" spans="1:21" x14ac:dyDescent="0.3">
      <c r="A46" s="27">
        <f>A43+1</f>
        <v>6</v>
      </c>
      <c r="B46" s="28" t="s">
        <v>81</v>
      </c>
      <c r="C46" s="28" t="s">
        <v>80</v>
      </c>
      <c r="D46" s="30"/>
      <c r="E46" s="30"/>
      <c r="F46" s="30">
        <f>F43</f>
        <v>65.070278650593622</v>
      </c>
      <c r="G46" s="31">
        <v>1.25</v>
      </c>
      <c r="H46" s="30">
        <f>HLOOKUP(G46,'PIPE CHART'!$C$2:$L$3,2,TRUE)</f>
        <v>1.38</v>
      </c>
      <c r="I46" s="45" t="s">
        <v>78</v>
      </c>
      <c r="J46" s="29">
        <v>13.8</v>
      </c>
      <c r="K46" s="45">
        <f>SUM(J46:J48)</f>
        <v>21.3</v>
      </c>
      <c r="L46" s="46">
        <f>4.52*(F46^1.85)/(Q46^1.85*H46^4.87)</f>
        <v>0.30352880487955963</v>
      </c>
      <c r="M46" s="45">
        <f>L46*K46</f>
        <v>6.4651635439346204</v>
      </c>
      <c r="N46" s="45">
        <f>0.4331*(C46-C48)</f>
        <v>0</v>
      </c>
      <c r="O46" s="45">
        <f>P43</f>
        <v>19.981391247752253</v>
      </c>
      <c r="P46" s="45">
        <f>M46+O46+N46</f>
        <v>26.446554791686872</v>
      </c>
      <c r="Q46" s="51">
        <v>120</v>
      </c>
      <c r="R46" s="45">
        <f>F46*0.133*144*4/(3.14*H46*H46*60)</f>
        <v>13.893693682393897</v>
      </c>
      <c r="S46" s="45">
        <f>R46/3.3</f>
        <v>4.2102102067860292</v>
      </c>
      <c r="T46" s="52">
        <f>0.5*1.94*R46*R46/144</f>
        <v>1.3003033501110162</v>
      </c>
      <c r="U46" s="52"/>
    </row>
    <row r="47" spans="1:21" x14ac:dyDescent="0.3">
      <c r="A47" s="32"/>
      <c r="B47" s="33" t="s">
        <v>67</v>
      </c>
      <c r="C47" s="33"/>
      <c r="D47" s="33"/>
      <c r="E47" s="34"/>
      <c r="F47" s="34"/>
      <c r="G47" s="34"/>
      <c r="H47" s="34"/>
      <c r="I47" s="34" t="s">
        <v>68</v>
      </c>
      <c r="J47" s="47">
        <v>3.5</v>
      </c>
      <c r="K47" s="34"/>
      <c r="L47" s="34"/>
      <c r="M47" s="34"/>
      <c r="N47" s="34"/>
      <c r="O47" s="34"/>
      <c r="P47" s="34"/>
      <c r="Q47" s="34"/>
      <c r="R47" s="34"/>
      <c r="S47" s="34"/>
      <c r="T47" s="53"/>
      <c r="U47" s="53"/>
    </row>
    <row r="48" spans="1:21" x14ac:dyDescent="0.3">
      <c r="A48" s="35"/>
      <c r="B48" s="36" t="s">
        <v>82</v>
      </c>
      <c r="C48" s="36" t="s">
        <v>80</v>
      </c>
      <c r="D48" s="37"/>
      <c r="E48" s="37"/>
      <c r="F48" s="37"/>
      <c r="G48" s="37"/>
      <c r="H48" s="37"/>
      <c r="I48" s="37" t="s">
        <v>70</v>
      </c>
      <c r="J48" s="48">
        <v>4</v>
      </c>
      <c r="K48" s="37"/>
      <c r="L48" s="37"/>
      <c r="M48" s="37"/>
      <c r="N48" s="37"/>
      <c r="O48" s="37"/>
      <c r="P48" s="37"/>
      <c r="Q48" s="37"/>
      <c r="R48" s="37"/>
      <c r="S48" s="37"/>
      <c r="T48" s="54"/>
      <c r="U48" s="54"/>
    </row>
    <row r="49" spans="1:21" x14ac:dyDescent="0.3">
      <c r="A49" s="27">
        <f>A46+1</f>
        <v>7</v>
      </c>
      <c r="B49" s="28" t="s">
        <v>82</v>
      </c>
      <c r="C49" s="28" t="s">
        <v>80</v>
      </c>
      <c r="D49" s="30"/>
      <c r="E49" s="30"/>
      <c r="F49" s="30">
        <f>F46</f>
        <v>65.070278650593622</v>
      </c>
      <c r="G49" s="31">
        <v>1.25</v>
      </c>
      <c r="H49" s="30">
        <f>HLOOKUP(G49,'PIPE CHART'!$C$2:$L$3,2,TRUE)</f>
        <v>1.38</v>
      </c>
      <c r="I49" s="45" t="s">
        <v>78</v>
      </c>
      <c r="J49" s="29">
        <v>10</v>
      </c>
      <c r="K49" s="45">
        <f>SUM(J49:J51)</f>
        <v>17.5</v>
      </c>
      <c r="L49" s="46">
        <f>4.52*(F49^1.85)/(Q49^1.85*H49^4.87)</f>
        <v>0.26175200397689968</v>
      </c>
      <c r="M49" s="45">
        <f>L49*K49</f>
        <v>4.5806600695957442</v>
      </c>
      <c r="N49" s="45">
        <f>0.4331*(C49-C51)</f>
        <v>4.3309999999999969</v>
      </c>
      <c r="O49" s="45">
        <f>P46</f>
        <v>26.446554791686872</v>
      </c>
      <c r="P49" s="45">
        <f>M49+O49+N49</f>
        <v>35.358214861282612</v>
      </c>
      <c r="Q49" s="51">
        <v>130</v>
      </c>
      <c r="R49" s="45">
        <f>F49*0.133*144*4/(3.14*H49*H49*60)</f>
        <v>13.893693682393897</v>
      </c>
      <c r="S49" s="45">
        <f>R49/3.3</f>
        <v>4.2102102067860292</v>
      </c>
      <c r="T49" s="52">
        <f>0.5*1.94*R49*R49/144</f>
        <v>1.3003033501110162</v>
      </c>
      <c r="U49" s="52"/>
    </row>
    <row r="50" spans="1:21" x14ac:dyDescent="0.3">
      <c r="A50" s="32"/>
      <c r="B50" s="33" t="s">
        <v>67</v>
      </c>
      <c r="C50" s="33"/>
      <c r="D50" s="33"/>
      <c r="E50" s="34"/>
      <c r="F50" s="34"/>
      <c r="G50" s="34"/>
      <c r="H50" s="34"/>
      <c r="I50" s="34" t="s">
        <v>68</v>
      </c>
      <c r="J50" s="47">
        <v>3.5</v>
      </c>
      <c r="K50" s="34"/>
      <c r="L50" s="34"/>
      <c r="M50" s="34"/>
      <c r="N50" s="34"/>
      <c r="O50" s="34"/>
      <c r="P50" s="34"/>
      <c r="Q50" s="34"/>
      <c r="R50" s="34"/>
      <c r="S50" s="34"/>
      <c r="T50" s="53"/>
      <c r="U50" s="53"/>
    </row>
    <row r="51" spans="1:21" x14ac:dyDescent="0.3">
      <c r="A51" s="35"/>
      <c r="B51" s="36" t="s">
        <v>83</v>
      </c>
      <c r="C51" s="36" t="s">
        <v>84</v>
      </c>
      <c r="D51" s="37"/>
      <c r="E51" s="37"/>
      <c r="F51" s="37"/>
      <c r="G51" s="37"/>
      <c r="H51" s="37"/>
      <c r="I51" s="37" t="s">
        <v>70</v>
      </c>
      <c r="J51" s="48">
        <v>4</v>
      </c>
      <c r="K51" s="37"/>
      <c r="L51" s="37"/>
      <c r="M51" s="37"/>
      <c r="N51" s="37"/>
      <c r="O51" s="37"/>
      <c r="P51" s="37"/>
      <c r="Q51" s="37"/>
      <c r="R51" s="37"/>
      <c r="S51" s="37"/>
      <c r="T51" s="54"/>
      <c r="U51" s="54"/>
    </row>
    <row r="52" spans="1:21" x14ac:dyDescent="0.3">
      <c r="A52" s="27">
        <f>A49+1</f>
        <v>8</v>
      </c>
      <c r="B52" s="28" t="s">
        <v>82</v>
      </c>
      <c r="C52" s="28" t="s">
        <v>80</v>
      </c>
      <c r="D52" s="30"/>
      <c r="E52" s="30"/>
      <c r="F52" s="30">
        <f>F49</f>
        <v>65.070278650593622</v>
      </c>
      <c r="G52" s="31">
        <v>1.5</v>
      </c>
      <c r="H52" s="30">
        <f>HLOOKUP(G52,'PIPE CHART'!$C$2:$L$3,2,TRUE)</f>
        <v>1.61</v>
      </c>
      <c r="I52" s="45" t="s">
        <v>78</v>
      </c>
      <c r="J52" s="29">
        <v>10</v>
      </c>
      <c r="K52" s="45">
        <f>SUM(J52:J54)</f>
        <v>13.5</v>
      </c>
      <c r="L52" s="46">
        <f>4.52*(F52^1.85)/(Q52^1.85*H52^4.87)</f>
        <v>0.12355466565734488</v>
      </c>
      <c r="M52" s="45">
        <f>L52*K52</f>
        <v>1.6679879863741558</v>
      </c>
      <c r="N52" s="45">
        <f>0.4331*(C52-C54)</f>
        <v>4.3309999999999969</v>
      </c>
      <c r="O52" s="45">
        <f>P49</f>
        <v>35.358214861282612</v>
      </c>
      <c r="P52" s="45">
        <f>M52+O52+N52</f>
        <v>41.357202847656765</v>
      </c>
      <c r="Q52" s="51">
        <v>130</v>
      </c>
      <c r="R52" s="45">
        <f>F52*0.133*144*4/(3.14*H52*H52*60)</f>
        <v>10.207611685024085</v>
      </c>
      <c r="S52" s="45">
        <f>R52/3.3</f>
        <v>3.093215662128511</v>
      </c>
      <c r="T52" s="52">
        <f>0.5*1.94*R52*R52/144</f>
        <v>0.70187136265884054</v>
      </c>
      <c r="U52" s="52"/>
    </row>
    <row r="53" spans="1:21" x14ac:dyDescent="0.3">
      <c r="A53" s="32"/>
      <c r="B53" s="33" t="s">
        <v>67</v>
      </c>
      <c r="C53" s="33"/>
      <c r="D53" s="33"/>
      <c r="E53" s="34"/>
      <c r="F53" s="34"/>
      <c r="G53" s="34"/>
      <c r="H53" s="34"/>
      <c r="I53" s="34" t="s">
        <v>68</v>
      </c>
      <c r="J53" s="47">
        <v>3.5</v>
      </c>
      <c r="K53" s="34"/>
      <c r="L53" s="34"/>
      <c r="M53" s="34"/>
      <c r="N53" s="34"/>
      <c r="O53" s="34"/>
      <c r="P53" s="34"/>
      <c r="Q53" s="34"/>
      <c r="R53" s="34"/>
      <c r="S53" s="34"/>
      <c r="T53" s="53"/>
      <c r="U53" s="53"/>
    </row>
    <row r="54" spans="1:21" x14ac:dyDescent="0.3">
      <c r="A54" s="35"/>
      <c r="B54" s="36" t="s">
        <v>83</v>
      </c>
      <c r="C54" s="36" t="s">
        <v>84</v>
      </c>
      <c r="D54" s="37"/>
      <c r="E54" s="37"/>
      <c r="F54" s="37"/>
      <c r="G54" s="37"/>
      <c r="H54" s="37"/>
      <c r="I54" s="37" t="s">
        <v>70</v>
      </c>
      <c r="J54" s="48">
        <v>0</v>
      </c>
      <c r="K54" s="37"/>
      <c r="L54" s="37"/>
      <c r="M54" s="37"/>
      <c r="N54" s="37"/>
      <c r="O54" s="37"/>
      <c r="P54" s="37"/>
      <c r="Q54" s="37"/>
      <c r="R54" s="37"/>
      <c r="S54" s="37"/>
      <c r="T54" s="54"/>
      <c r="U54" s="54"/>
    </row>
    <row r="55" spans="1:21" x14ac:dyDescent="0.3">
      <c r="A55" s="27">
        <f>A52+1</f>
        <v>9</v>
      </c>
      <c r="B55" s="28" t="s">
        <v>83</v>
      </c>
      <c r="C55" s="28" t="s">
        <v>84</v>
      </c>
      <c r="D55" s="30"/>
      <c r="E55" s="30"/>
      <c r="F55" s="30">
        <f>F52</f>
        <v>65.070278650593622</v>
      </c>
      <c r="G55" s="31">
        <v>1.5</v>
      </c>
      <c r="H55" s="30">
        <f>HLOOKUP(G55,'PIPE CHART'!$C$2:$L$3,2,TRUE)</f>
        <v>1.61</v>
      </c>
      <c r="I55" s="45" t="s">
        <v>78</v>
      </c>
      <c r="J55" s="29">
        <v>25</v>
      </c>
      <c r="K55" s="45">
        <f>SUM(J55:J57)</f>
        <v>36.5</v>
      </c>
      <c r="L55" s="46">
        <f>4.52*(F55^1.85)/(Q55^1.85*H55^4.87)</f>
        <v>0.12355466565734488</v>
      </c>
      <c r="M55" s="45">
        <f>L55*K55</f>
        <v>4.5097452964930884</v>
      </c>
      <c r="N55" s="45">
        <f>0.4331*(C55-C57)</f>
        <v>4.3309999999999995</v>
      </c>
      <c r="O55" s="45">
        <f>P52</f>
        <v>41.357202847656765</v>
      </c>
      <c r="P55" s="45">
        <f>M55+O55+N55</f>
        <v>50.197948144149848</v>
      </c>
      <c r="Q55" s="51">
        <v>130</v>
      </c>
      <c r="R55" s="45">
        <f>F55*0.133*144*4/(3.14*H55*H55*60)</f>
        <v>10.207611685024085</v>
      </c>
      <c r="S55" s="45">
        <f>R55/3.3</f>
        <v>3.093215662128511</v>
      </c>
      <c r="T55" s="52">
        <f>0.5*1.94*R55*R55/144</f>
        <v>0.70187136265884054</v>
      </c>
      <c r="U55" s="52"/>
    </row>
    <row r="56" spans="1:21" x14ac:dyDescent="0.3">
      <c r="A56" s="32"/>
      <c r="B56" s="33" t="s">
        <v>67</v>
      </c>
      <c r="C56" s="33"/>
      <c r="D56" s="33"/>
      <c r="E56" s="34"/>
      <c r="F56" s="34"/>
      <c r="G56" s="34"/>
      <c r="H56" s="34"/>
      <c r="I56" s="34" t="s">
        <v>68</v>
      </c>
      <c r="J56" s="47">
        <v>3.5</v>
      </c>
      <c r="K56" s="34"/>
      <c r="L56" s="34"/>
      <c r="M56" s="34"/>
      <c r="N56" s="34"/>
      <c r="O56" s="34"/>
      <c r="P56" s="34"/>
      <c r="Q56" s="34"/>
      <c r="R56" s="34"/>
      <c r="S56" s="34"/>
      <c r="T56" s="53"/>
      <c r="U56" s="53"/>
    </row>
    <row r="57" spans="1:21" x14ac:dyDescent="0.3">
      <c r="A57" s="35"/>
      <c r="B57" s="36" t="s">
        <v>85</v>
      </c>
      <c r="C57" s="36" t="s">
        <v>86</v>
      </c>
      <c r="D57" s="37"/>
      <c r="E57" s="37"/>
      <c r="F57" s="37"/>
      <c r="G57" s="37"/>
      <c r="H57" s="37"/>
      <c r="I57" s="37" t="s">
        <v>70</v>
      </c>
      <c r="J57" s="48">
        <v>8</v>
      </c>
      <c r="K57" s="37"/>
      <c r="L57" s="37"/>
      <c r="M57" s="37"/>
      <c r="N57" s="37"/>
      <c r="O57" s="37"/>
      <c r="P57" s="37"/>
      <c r="Q57" s="37"/>
      <c r="R57" s="37"/>
      <c r="S57" s="37"/>
      <c r="T57" s="54"/>
      <c r="U57" s="54"/>
    </row>
    <row r="58" spans="1:21" x14ac:dyDescent="0.3">
      <c r="A58" s="27">
        <f>A55+1</f>
        <v>10</v>
      </c>
      <c r="B58" s="28" t="s">
        <v>87</v>
      </c>
      <c r="C58" s="28" t="s">
        <v>86</v>
      </c>
      <c r="D58" s="30"/>
      <c r="E58" s="30">
        <v>0</v>
      </c>
      <c r="F58" s="30">
        <f>F41+E58+F55</f>
        <v>65.070278650593622</v>
      </c>
      <c r="G58" s="31">
        <v>1.5</v>
      </c>
      <c r="H58" s="30">
        <f>HLOOKUP(G58,'PIPE CHART'!$C$2:$L$3,2,TRUE)</f>
        <v>1.61</v>
      </c>
      <c r="I58" s="45" t="s">
        <v>66</v>
      </c>
      <c r="J58" s="29">
        <v>10</v>
      </c>
      <c r="K58" s="45">
        <f>SUM(J58:J60)</f>
        <v>10</v>
      </c>
      <c r="L58" s="46">
        <f>4.52*(F58^1.85)/(Q58^1.85*H58^4.87)</f>
        <v>0.12355466565734488</v>
      </c>
      <c r="M58" s="45">
        <f>L58*K58</f>
        <v>1.2355466565734488</v>
      </c>
      <c r="N58" s="45">
        <f>0.4331*(C58-C60)</f>
        <v>1.7323999999999999</v>
      </c>
      <c r="O58" s="45">
        <f>P55</f>
        <v>50.197948144149848</v>
      </c>
      <c r="P58" s="45">
        <f>M58+O58+N58</f>
        <v>53.165894800723294</v>
      </c>
      <c r="Q58" s="51">
        <v>130</v>
      </c>
      <c r="R58" s="45">
        <f>F58*0.133*144*4/(3.14*H58*H58*60)</f>
        <v>10.207611685024085</v>
      </c>
      <c r="S58" s="45">
        <f>R58/3.3</f>
        <v>3.093215662128511</v>
      </c>
      <c r="T58" s="52">
        <f>0.5*1.94*R58*R58/144</f>
        <v>0.70187136265884054</v>
      </c>
      <c r="U58" s="56"/>
    </row>
    <row r="59" spans="1:21" x14ac:dyDescent="0.3">
      <c r="A59" s="32"/>
      <c r="B59" s="33" t="s">
        <v>67</v>
      </c>
      <c r="C59" s="33"/>
      <c r="D59" s="33"/>
      <c r="E59" s="34"/>
      <c r="F59" s="34"/>
      <c r="G59" s="34"/>
      <c r="H59" s="34"/>
      <c r="I59" s="34" t="s">
        <v>68</v>
      </c>
      <c r="J59" s="47"/>
      <c r="K59" s="34"/>
      <c r="L59" s="34"/>
      <c r="M59" s="34"/>
      <c r="N59" s="34"/>
      <c r="O59" s="34"/>
      <c r="P59" s="34"/>
      <c r="Q59" s="34"/>
      <c r="R59" s="34"/>
      <c r="S59" s="34"/>
      <c r="T59" s="53"/>
      <c r="U59" s="53"/>
    </row>
    <row r="60" spans="1:21" x14ac:dyDescent="0.3">
      <c r="A60" s="35"/>
      <c r="B60" s="36" t="s">
        <v>88</v>
      </c>
      <c r="C60" s="36" t="s">
        <v>89</v>
      </c>
      <c r="D60" s="37"/>
      <c r="E60" s="37"/>
      <c r="F60" s="37"/>
      <c r="G60" s="37"/>
      <c r="H60" s="37"/>
      <c r="I60" s="37" t="s">
        <v>70</v>
      </c>
      <c r="J60" s="48"/>
      <c r="K60" s="37"/>
      <c r="L60" s="37"/>
      <c r="M60" s="37"/>
      <c r="N60" s="37"/>
      <c r="O60" s="37"/>
      <c r="P60" s="37"/>
      <c r="Q60" s="37"/>
      <c r="R60" s="37"/>
      <c r="S60" s="37"/>
      <c r="T60" s="54"/>
      <c r="U60" s="54"/>
    </row>
    <row r="62" spans="1:21" ht="20.25" x14ac:dyDescent="0.3">
      <c r="A62" t="s">
        <v>88</v>
      </c>
      <c r="C62" s="7" t="s">
        <v>88</v>
      </c>
      <c r="D62" s="41" t="s">
        <v>90</v>
      </c>
      <c r="E62" s="41"/>
      <c r="F62" s="42">
        <f>F58</f>
        <v>65.070278650593622</v>
      </c>
      <c r="G62" s="7" t="s">
        <v>26</v>
      </c>
      <c r="H62" s="43">
        <f>F62/15.75</f>
        <v>4.131446263529754</v>
      </c>
      <c r="I62" s="49" t="s">
        <v>91</v>
      </c>
      <c r="L62" t="s">
        <v>92</v>
      </c>
      <c r="O62" s="42">
        <f>P58</f>
        <v>53.165894800723294</v>
      </c>
      <c r="P62" s="42" t="s">
        <v>59</v>
      </c>
      <c r="Q62" s="43">
        <f>O62*6.89</f>
        <v>366.31301517698347</v>
      </c>
      <c r="R62" t="s">
        <v>93</v>
      </c>
      <c r="S62">
        <f>Q62/10</f>
        <v>36.631301517698347</v>
      </c>
      <c r="T62" t="s">
        <v>94</v>
      </c>
    </row>
    <row r="63" spans="1:21" ht="20.25" x14ac:dyDescent="0.3">
      <c r="L63" t="s">
        <v>95</v>
      </c>
      <c r="O63" s="42">
        <f>F62/SQRT(O62)</f>
        <v>8.9241344093882695</v>
      </c>
    </row>
  </sheetData>
  <mergeCells count="10">
    <mergeCell ref="N18:N19"/>
    <mergeCell ref="P18:P19"/>
    <mergeCell ref="Q18:Q20"/>
    <mergeCell ref="T18:T19"/>
    <mergeCell ref="R18:S19"/>
    <mergeCell ref="G18:H18"/>
    <mergeCell ref="I18:J18"/>
    <mergeCell ref="A18:A19"/>
    <mergeCell ref="D18:D19"/>
    <mergeCell ref="M18:M19"/>
  </mergeCells>
  <phoneticPr fontId="10" type="noConversion"/>
  <pageMargins left="0.69930555555555596" right="0.69930555555555596" top="0.75" bottom="0.75" header="0.3" footer="0.3"/>
  <pageSetup scale="56" orientation="landscape" r:id="rId1"/>
  <rowBreaks count="1" manualBreakCount="1">
    <brk id="1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'PIPE CHART'!$C$2:$L$2</xm:f>
          </x14:formula1>
          <xm:sqref>G21 G24 G27 G30 G33 G37 G40 G43 G46 G49 G52 G55 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workbookViewId="0">
      <selection activeCell="I4" sqref="I4"/>
    </sheetView>
  </sheetViews>
  <sheetFormatPr defaultColWidth="9" defaultRowHeight="16.5" x14ac:dyDescent="0.3"/>
  <sheetData>
    <row r="1" spans="1:12" x14ac:dyDescent="0.3">
      <c r="A1" s="65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19"/>
    </row>
    <row r="2" spans="1:12" x14ac:dyDescent="0.3">
      <c r="A2" s="68" t="s">
        <v>34</v>
      </c>
      <c r="B2" s="68"/>
      <c r="C2" s="16">
        <v>0.75</v>
      </c>
      <c r="D2" s="16">
        <v>1</v>
      </c>
      <c r="E2" s="16">
        <v>1.25</v>
      </c>
      <c r="F2" s="16">
        <v>1.5</v>
      </c>
      <c r="G2" s="16">
        <v>2</v>
      </c>
      <c r="H2" s="16">
        <v>3</v>
      </c>
      <c r="I2" s="16">
        <v>4</v>
      </c>
      <c r="J2" s="16">
        <v>5</v>
      </c>
      <c r="K2" s="16">
        <v>6</v>
      </c>
      <c r="L2" s="16">
        <v>8</v>
      </c>
    </row>
    <row r="3" spans="1:12" x14ac:dyDescent="0.3">
      <c r="A3" s="68" t="s">
        <v>97</v>
      </c>
      <c r="B3" s="68"/>
      <c r="C3" s="17">
        <v>0.82</v>
      </c>
      <c r="D3" s="17">
        <v>1.0489999999999999</v>
      </c>
      <c r="E3" s="17">
        <v>1.38</v>
      </c>
      <c r="F3" s="17">
        <v>1.61</v>
      </c>
      <c r="G3" s="17">
        <v>2.0699999999999998</v>
      </c>
      <c r="H3" s="17">
        <v>3.26</v>
      </c>
      <c r="I3" s="17">
        <v>4.26</v>
      </c>
      <c r="J3" s="17">
        <v>5.05</v>
      </c>
      <c r="K3" s="17">
        <v>6.07</v>
      </c>
      <c r="L3" s="17">
        <v>7.98</v>
      </c>
    </row>
    <row r="4" spans="1:12" x14ac:dyDescent="0.3">
      <c r="C4" s="18"/>
      <c r="D4" s="18"/>
      <c r="E4" s="18"/>
      <c r="F4" s="18"/>
      <c r="G4" s="18"/>
      <c r="H4" s="18"/>
      <c r="I4" s="18"/>
      <c r="J4" s="18"/>
      <c r="K4" s="18"/>
      <c r="L4" s="18"/>
    </row>
  </sheetData>
  <mergeCells count="3">
    <mergeCell ref="A1:K1"/>
    <mergeCell ref="A2:B2"/>
    <mergeCell ref="A3:B3"/>
  </mergeCells>
  <phoneticPr fontId="10" type="noConversion"/>
  <pageMargins left="0.69930555555555596" right="0.69930555555555596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sqref="A1:L20"/>
    </sheetView>
  </sheetViews>
  <sheetFormatPr defaultColWidth="9" defaultRowHeight="16.5" x14ac:dyDescent="0.3"/>
  <sheetData>
    <row r="1" spans="1:8" ht="20.25" x14ac:dyDescent="0.3">
      <c r="A1" s="7" t="s">
        <v>98</v>
      </c>
      <c r="B1" s="8"/>
      <c r="C1" s="8"/>
      <c r="D1" s="8"/>
      <c r="E1" s="8"/>
      <c r="F1" s="8"/>
      <c r="G1" s="8"/>
      <c r="H1" s="8"/>
    </row>
    <row r="2" spans="1:8" x14ac:dyDescent="0.3">
      <c r="A2" s="8" t="s">
        <v>1</v>
      </c>
      <c r="B2" s="8"/>
      <c r="C2" s="8"/>
      <c r="D2" s="8"/>
      <c r="E2" s="8"/>
      <c r="F2" s="8"/>
      <c r="G2" s="8"/>
      <c r="H2" s="8"/>
    </row>
    <row r="3" spans="1:8" x14ac:dyDescent="0.3">
      <c r="A3" s="8"/>
      <c r="B3" s="8"/>
      <c r="C3" s="8"/>
      <c r="D3" s="8"/>
      <c r="E3" s="8"/>
      <c r="F3" s="8"/>
      <c r="G3" s="8"/>
      <c r="H3" s="8"/>
    </row>
    <row r="4" spans="1:8" x14ac:dyDescent="0.3">
      <c r="A4" s="8" t="s">
        <v>2</v>
      </c>
      <c r="B4" s="8"/>
      <c r="C4" s="8"/>
      <c r="D4" s="8"/>
      <c r="E4" s="8"/>
      <c r="F4" s="8"/>
      <c r="G4" s="8"/>
      <c r="H4" s="8"/>
    </row>
    <row r="5" spans="1:8" x14ac:dyDescent="0.3">
      <c r="A5" s="9" t="s">
        <v>3</v>
      </c>
      <c r="B5" s="10" t="s">
        <v>4</v>
      </c>
      <c r="C5" s="10"/>
      <c r="D5" s="10"/>
      <c r="E5" s="11"/>
      <c r="F5" s="12"/>
      <c r="G5" s="12"/>
      <c r="H5" s="8"/>
    </row>
    <row r="6" spans="1:8" x14ac:dyDescent="0.3">
      <c r="A6" s="9" t="s">
        <v>5</v>
      </c>
      <c r="B6" s="10" t="s">
        <v>6</v>
      </c>
      <c r="C6" s="10"/>
      <c r="D6" s="10"/>
      <c r="E6" s="11"/>
      <c r="F6" s="12"/>
      <c r="G6" s="12"/>
      <c r="H6" s="8"/>
    </row>
    <row r="7" spans="1:8" x14ac:dyDescent="0.3">
      <c r="A7" s="9" t="s">
        <v>7</v>
      </c>
      <c r="B7" s="10"/>
      <c r="C7" s="10"/>
      <c r="D7" s="10"/>
      <c r="E7" s="11"/>
      <c r="F7" s="12"/>
      <c r="G7" s="12"/>
      <c r="H7" s="8"/>
    </row>
    <row r="8" spans="1:8" x14ac:dyDescent="0.3">
      <c r="A8" s="9" t="s">
        <v>9</v>
      </c>
      <c r="B8" s="10" t="s">
        <v>99</v>
      </c>
      <c r="C8" s="10"/>
      <c r="D8" s="10"/>
      <c r="E8" s="11"/>
      <c r="F8" s="12"/>
      <c r="G8" s="12"/>
      <c r="H8" s="8"/>
    </row>
    <row r="9" spans="1:8" x14ac:dyDescent="0.3">
      <c r="A9" s="9" t="s">
        <v>12</v>
      </c>
      <c r="B9" s="10" t="s">
        <v>100</v>
      </c>
      <c r="C9" s="10"/>
      <c r="D9" s="10"/>
      <c r="E9" s="11"/>
      <c r="F9" s="12"/>
      <c r="G9" s="12"/>
      <c r="H9" s="8"/>
    </row>
    <row r="10" spans="1:8" x14ac:dyDescent="0.3">
      <c r="A10" s="8"/>
      <c r="B10" s="12"/>
      <c r="C10" s="12"/>
      <c r="D10" s="12"/>
      <c r="E10" s="12"/>
      <c r="F10" s="12"/>
      <c r="G10" s="12"/>
      <c r="H10" s="8"/>
    </row>
    <row r="11" spans="1:8" x14ac:dyDescent="0.3">
      <c r="A11" s="13" t="s">
        <v>15</v>
      </c>
      <c r="B11" s="14"/>
      <c r="D11" s="12" t="s">
        <v>101</v>
      </c>
      <c r="E11" s="12"/>
      <c r="F11" s="12"/>
      <c r="G11" s="12"/>
      <c r="H11" s="8"/>
    </row>
    <row r="12" spans="1:8" x14ac:dyDescent="0.3">
      <c r="A12" s="8" t="s">
        <v>17</v>
      </c>
      <c r="B12" s="12"/>
      <c r="C12" s="12"/>
      <c r="D12" s="15">
        <v>0.1</v>
      </c>
      <c r="E12" s="12" t="s">
        <v>26</v>
      </c>
      <c r="F12" s="12"/>
      <c r="G12" s="12"/>
      <c r="H12" s="8"/>
    </row>
    <row r="13" spans="1:8" x14ac:dyDescent="0.3">
      <c r="A13" s="8" t="s">
        <v>102</v>
      </c>
      <c r="B13" s="12"/>
      <c r="C13" s="12"/>
      <c r="D13" s="15">
        <v>1500</v>
      </c>
      <c r="E13" s="12" t="s">
        <v>20</v>
      </c>
      <c r="F13" s="12"/>
      <c r="G13" s="12"/>
      <c r="H13" s="8"/>
    </row>
    <row r="14" spans="1:8" x14ac:dyDescent="0.3">
      <c r="A14" s="8" t="s">
        <v>22</v>
      </c>
      <c r="B14" s="12"/>
      <c r="C14" s="12"/>
      <c r="D14" s="12">
        <v>8</v>
      </c>
      <c r="E14" s="12"/>
      <c r="F14" s="12"/>
      <c r="G14" s="12"/>
      <c r="H14" s="8"/>
    </row>
    <row r="15" spans="1:8" x14ac:dyDescent="0.3">
      <c r="A15" s="8" t="s">
        <v>23</v>
      </c>
      <c r="B15" s="12"/>
      <c r="C15" s="12"/>
      <c r="D15" s="15">
        <v>15</v>
      </c>
      <c r="E15" s="12" t="s">
        <v>24</v>
      </c>
      <c r="F15" s="12"/>
      <c r="G15" s="12"/>
      <c r="H15" s="8"/>
    </row>
    <row r="16" spans="1:8" x14ac:dyDescent="0.3">
      <c r="A16" s="8" t="s">
        <v>25</v>
      </c>
      <c r="D16">
        <f>D15^2*D12</f>
        <v>22.5</v>
      </c>
      <c r="E16" s="12" t="s">
        <v>26</v>
      </c>
      <c r="F16" s="12"/>
    </row>
    <row r="17" spans="1:6" x14ac:dyDescent="0.3">
      <c r="A17" s="8" t="s">
        <v>27</v>
      </c>
      <c r="D17" s="15">
        <v>0</v>
      </c>
      <c r="E17" s="12" t="s">
        <v>26</v>
      </c>
      <c r="F17" s="12"/>
    </row>
    <row r="18" spans="1:6" x14ac:dyDescent="0.3">
      <c r="A18" t="s">
        <v>103</v>
      </c>
      <c r="B18" t="s">
        <v>104</v>
      </c>
    </row>
    <row r="19" spans="1:6" x14ac:dyDescent="0.3">
      <c r="A19" t="s">
        <v>78</v>
      </c>
      <c r="B19">
        <v>150</v>
      </c>
    </row>
    <row r="20" spans="1:6" x14ac:dyDescent="0.3">
      <c r="A20" t="s">
        <v>105</v>
      </c>
      <c r="B20">
        <v>130</v>
      </c>
    </row>
  </sheetData>
  <phoneticPr fontId="10" type="noConversion"/>
  <pageMargins left="0.69930555555555596" right="0.69930555555555596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55" workbookViewId="0">
      <selection activeCell="L78" sqref="L78"/>
    </sheetView>
  </sheetViews>
  <sheetFormatPr defaultColWidth="9" defaultRowHeight="16.5" x14ac:dyDescent="0.3"/>
  <sheetData/>
  <phoneticPr fontId="10" type="noConversion"/>
  <pageMargins left="0.69930555555555596" right="0.69930555555555596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50"/>
  <sheetViews>
    <sheetView topLeftCell="A25" workbookViewId="0">
      <selection activeCell="D4" sqref="D4"/>
    </sheetView>
  </sheetViews>
  <sheetFormatPr defaultColWidth="9" defaultRowHeight="16.5" x14ac:dyDescent="0.3"/>
  <cols>
    <col min="1" max="1" width="18.625" customWidth="1"/>
    <col min="2" max="2" width="23.25" customWidth="1"/>
  </cols>
  <sheetData>
    <row r="2" spans="1:2" x14ac:dyDescent="0.3">
      <c r="A2" s="69" t="s">
        <v>106</v>
      </c>
      <c r="B2" s="1" t="s">
        <v>107</v>
      </c>
    </row>
    <row r="3" spans="1:2" x14ac:dyDescent="0.3">
      <c r="A3" s="70"/>
      <c r="B3" s="2" t="s">
        <v>108</v>
      </c>
    </row>
    <row r="4" spans="1:2" ht="24" x14ac:dyDescent="0.3">
      <c r="A4" s="3" t="s">
        <v>109</v>
      </c>
      <c r="B4" s="4">
        <v>130</v>
      </c>
    </row>
    <row r="5" spans="1:2" x14ac:dyDescent="0.3">
      <c r="A5" s="3" t="s">
        <v>110</v>
      </c>
      <c r="B5" s="4" t="s">
        <v>111</v>
      </c>
    </row>
    <row r="6" spans="1:2" x14ac:dyDescent="0.3">
      <c r="A6" s="3" t="s">
        <v>112</v>
      </c>
      <c r="B6" s="4">
        <v>140</v>
      </c>
    </row>
    <row r="7" spans="1:2" x14ac:dyDescent="0.3">
      <c r="A7" s="3" t="s">
        <v>113</v>
      </c>
      <c r="B7" s="4" t="s">
        <v>114</v>
      </c>
    </row>
    <row r="8" spans="1:2" x14ac:dyDescent="0.3">
      <c r="A8" s="3" t="s">
        <v>115</v>
      </c>
      <c r="B8" s="4" t="s">
        <v>114</v>
      </c>
    </row>
    <row r="9" spans="1:2" x14ac:dyDescent="0.3">
      <c r="A9" s="3" t="s">
        <v>116</v>
      </c>
      <c r="B9" s="4" t="s">
        <v>117</v>
      </c>
    </row>
    <row r="10" spans="1:2" ht="24" x14ac:dyDescent="0.3">
      <c r="A10" s="3" t="s">
        <v>118</v>
      </c>
      <c r="B10" s="4">
        <v>130</v>
      </c>
    </row>
    <row r="11" spans="1:2" x14ac:dyDescent="0.3">
      <c r="A11" s="3" t="s">
        <v>119</v>
      </c>
      <c r="B11" s="4" t="s">
        <v>120</v>
      </c>
    </row>
    <row r="12" spans="1:2" x14ac:dyDescent="0.3">
      <c r="A12" s="3" t="s">
        <v>121</v>
      </c>
      <c r="B12" s="4" t="s">
        <v>122</v>
      </c>
    </row>
    <row r="13" spans="1:2" x14ac:dyDescent="0.3">
      <c r="A13" s="3" t="s">
        <v>123</v>
      </c>
      <c r="B13" s="4" t="s">
        <v>124</v>
      </c>
    </row>
    <row r="14" spans="1:2" x14ac:dyDescent="0.3">
      <c r="A14" s="3" t="s">
        <v>125</v>
      </c>
      <c r="B14" s="4" t="s">
        <v>126</v>
      </c>
    </row>
    <row r="15" spans="1:2" x14ac:dyDescent="0.3">
      <c r="A15" s="3" t="s">
        <v>127</v>
      </c>
      <c r="B15" s="4">
        <v>100</v>
      </c>
    </row>
    <row r="16" spans="1:2" x14ac:dyDescent="0.3">
      <c r="A16" s="3" t="s">
        <v>128</v>
      </c>
      <c r="B16" s="4">
        <v>140</v>
      </c>
    </row>
    <row r="17" spans="1:2" ht="24" x14ac:dyDescent="0.3">
      <c r="A17" s="3" t="s">
        <v>129</v>
      </c>
      <c r="B17" s="4">
        <v>140</v>
      </c>
    </row>
    <row r="18" spans="1:2" x14ac:dyDescent="0.3">
      <c r="A18" s="3" t="s">
        <v>130</v>
      </c>
      <c r="B18" s="4">
        <v>120</v>
      </c>
    </row>
    <row r="19" spans="1:2" x14ac:dyDescent="0.3">
      <c r="A19" s="3" t="s">
        <v>131</v>
      </c>
      <c r="B19" s="4">
        <v>100</v>
      </c>
    </row>
    <row r="20" spans="1:2" x14ac:dyDescent="0.3">
      <c r="A20" s="3" t="s">
        <v>132</v>
      </c>
      <c r="B20" s="4" t="s">
        <v>114</v>
      </c>
    </row>
    <row r="21" spans="1:2" x14ac:dyDescent="0.3">
      <c r="A21" s="3" t="s">
        <v>133</v>
      </c>
      <c r="B21" s="4" t="s">
        <v>134</v>
      </c>
    </row>
    <row r="22" spans="1:2" ht="24" x14ac:dyDescent="0.3">
      <c r="A22" s="3" t="s">
        <v>135</v>
      </c>
      <c r="B22" s="4">
        <v>140</v>
      </c>
    </row>
    <row r="23" spans="1:2" ht="24" x14ac:dyDescent="0.3">
      <c r="A23" s="3" t="s">
        <v>136</v>
      </c>
      <c r="B23" s="4">
        <v>120</v>
      </c>
    </row>
    <row r="24" spans="1:2" x14ac:dyDescent="0.3">
      <c r="A24" s="3" t="s">
        <v>137</v>
      </c>
      <c r="B24" s="4" t="s">
        <v>138</v>
      </c>
    </row>
    <row r="25" spans="1:2" x14ac:dyDescent="0.3">
      <c r="A25" s="3" t="s">
        <v>139</v>
      </c>
      <c r="B25" s="4" t="s">
        <v>114</v>
      </c>
    </row>
    <row r="26" spans="1:2" x14ac:dyDescent="0.3">
      <c r="A26" s="3" t="s">
        <v>140</v>
      </c>
      <c r="B26" s="4">
        <v>60</v>
      </c>
    </row>
    <row r="27" spans="1:2" x14ac:dyDescent="0.3">
      <c r="A27" s="3" t="s">
        <v>141</v>
      </c>
      <c r="B27" s="4">
        <v>140</v>
      </c>
    </row>
    <row r="28" spans="1:2" x14ac:dyDescent="0.3">
      <c r="A28" s="3" t="s">
        <v>142</v>
      </c>
      <c r="B28" s="4">
        <v>120</v>
      </c>
    </row>
    <row r="29" spans="1:2" x14ac:dyDescent="0.3">
      <c r="A29" s="3" t="s">
        <v>143</v>
      </c>
      <c r="B29" s="4">
        <v>140</v>
      </c>
    </row>
    <row r="30" spans="1:2" x14ac:dyDescent="0.3">
      <c r="A30" s="3" t="s">
        <v>144</v>
      </c>
      <c r="B30" s="4">
        <v>150</v>
      </c>
    </row>
    <row r="31" spans="1:2" x14ac:dyDescent="0.3">
      <c r="A31" s="3" t="s">
        <v>145</v>
      </c>
      <c r="B31" s="4">
        <v>120</v>
      </c>
    </row>
    <row r="32" spans="1:2" x14ac:dyDescent="0.3">
      <c r="A32" s="3" t="s">
        <v>146</v>
      </c>
      <c r="B32" s="4">
        <v>130</v>
      </c>
    </row>
    <row r="33" spans="1:2" x14ac:dyDescent="0.3">
      <c r="A33" s="3" t="s">
        <v>147</v>
      </c>
      <c r="B33" s="4" t="s">
        <v>114</v>
      </c>
    </row>
    <row r="34" spans="1:2" ht="24" x14ac:dyDescent="0.3">
      <c r="A34" s="3" t="s">
        <v>148</v>
      </c>
      <c r="B34" s="4" t="s">
        <v>114</v>
      </c>
    </row>
    <row r="35" spans="1:2" x14ac:dyDescent="0.3">
      <c r="A35" s="3" t="s">
        <v>149</v>
      </c>
      <c r="B35" s="4" t="s">
        <v>111</v>
      </c>
    </row>
    <row r="36" spans="1:2" x14ac:dyDescent="0.3">
      <c r="A36" s="3" t="s">
        <v>150</v>
      </c>
      <c r="B36" s="4">
        <v>140</v>
      </c>
    </row>
    <row r="37" spans="1:2" ht="24" x14ac:dyDescent="0.3">
      <c r="A37" s="3" t="s">
        <v>151</v>
      </c>
      <c r="B37" s="4">
        <v>150</v>
      </c>
    </row>
    <row r="38" spans="1:2" x14ac:dyDescent="0.3">
      <c r="A38" s="3" t="s">
        <v>152</v>
      </c>
      <c r="B38" s="4">
        <v>140</v>
      </c>
    </row>
    <row r="39" spans="1:2" x14ac:dyDescent="0.3">
      <c r="A39" s="3" t="s">
        <v>153</v>
      </c>
      <c r="B39" s="4" t="s">
        <v>154</v>
      </c>
    </row>
    <row r="40" spans="1:2" x14ac:dyDescent="0.3">
      <c r="A40" s="3" t="s">
        <v>155</v>
      </c>
      <c r="B40" s="4">
        <v>60</v>
      </c>
    </row>
    <row r="41" spans="1:2" ht="24" x14ac:dyDescent="0.3">
      <c r="A41" s="3" t="s">
        <v>156</v>
      </c>
      <c r="B41" s="4">
        <v>100</v>
      </c>
    </row>
    <row r="42" spans="1:2" ht="24" x14ac:dyDescent="0.3">
      <c r="A42" s="3" t="s">
        <v>157</v>
      </c>
      <c r="B42" s="4">
        <v>110</v>
      </c>
    </row>
    <row r="43" spans="1:2" ht="24" x14ac:dyDescent="0.3">
      <c r="A43" s="3" t="s">
        <v>158</v>
      </c>
      <c r="B43" s="4">
        <v>100</v>
      </c>
    </row>
    <row r="44" spans="1:2" ht="24" x14ac:dyDescent="0.3">
      <c r="A44" s="3" t="s">
        <v>159</v>
      </c>
      <c r="B44" s="4" t="s">
        <v>160</v>
      </c>
    </row>
    <row r="45" spans="1:2" ht="24" x14ac:dyDescent="0.3">
      <c r="A45" s="3" t="s">
        <v>156</v>
      </c>
      <c r="B45" s="4">
        <v>100</v>
      </c>
    </row>
    <row r="46" spans="1:2" x14ac:dyDescent="0.3">
      <c r="A46" s="3" t="s">
        <v>161</v>
      </c>
      <c r="B46" s="4">
        <v>130</v>
      </c>
    </row>
    <row r="47" spans="1:2" x14ac:dyDescent="0.3">
      <c r="A47" s="3" t="s">
        <v>162</v>
      </c>
      <c r="B47" s="4">
        <v>110</v>
      </c>
    </row>
    <row r="48" spans="1:2" x14ac:dyDescent="0.3">
      <c r="A48" s="3" t="s">
        <v>163</v>
      </c>
      <c r="B48" s="4">
        <v>100</v>
      </c>
    </row>
    <row r="49" spans="1:2" ht="24" x14ac:dyDescent="0.3">
      <c r="A49" s="3" t="s">
        <v>164</v>
      </c>
      <c r="B49" s="4">
        <v>120</v>
      </c>
    </row>
    <row r="50" spans="1:2" x14ac:dyDescent="0.3">
      <c r="A50" s="5" t="s">
        <v>165</v>
      </c>
      <c r="B50" s="6" t="s">
        <v>166</v>
      </c>
    </row>
  </sheetData>
  <mergeCells count="1">
    <mergeCell ref="A2:A3"/>
  </mergeCells>
  <phoneticPr fontId="10" type="noConversion"/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FP HYDRAULIC CALC</vt:lpstr>
      <vt:lpstr>PIPE CHART</vt:lpstr>
      <vt:lpstr>PROJECT INFO</vt:lpstr>
      <vt:lpstr>NPFA 13 reference</vt:lpstr>
      <vt:lpstr>MATERIAL C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2018-02-12T18:58:00Z</cp:lastPrinted>
  <dcterms:created xsi:type="dcterms:W3CDTF">2018-02-09T07:16:00Z</dcterms:created>
  <dcterms:modified xsi:type="dcterms:W3CDTF">2021-02-16T02:56:00Z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