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K:\xt engineering\web\tools\"/>
    </mc:Choice>
  </mc:AlternateContent>
  <xr:revisionPtr revIDLastSave="0" documentId="8_{C16CFF34-B8DF-4791-B9EB-DC1058F94E67}" xr6:coauthVersionLast="46" xr6:coauthVersionMax="46" xr10:uidLastSave="{00000000-0000-0000-0000-000000000000}"/>
  <bookViews>
    <workbookView xWindow="28680" yWindow="-120" windowWidth="29040" windowHeight="15840" activeTab="2" xr2:uid="{00000000-000D-0000-FFFF-FFFF00000000}"/>
  </bookViews>
  <sheets>
    <sheet name="house project maple" sheetId="6" r:id="rId1"/>
    <sheet name="guide example maple" sheetId="5" r:id="rId2"/>
    <sheet name="maple ridge" sheetId="8" r:id="rId3"/>
    <sheet name="west vancouver" sheetId="7" r:id="rId4"/>
  </sheets>
  <definedNames>
    <definedName name="_xlnm.Print_Area" localSheetId="1">'guide example maple'!$A$1:$I$105</definedName>
    <definedName name="_xlnm.Print_Area" localSheetId="0">'house project maple'!$A$1:$I$112</definedName>
    <definedName name="_xlnm.Print_Area" localSheetId="2">'maple ridge'!$A$1:$K$110</definedName>
    <definedName name="_xlnm.Print_Area" localSheetId="3">'west vancouver'!$A$1:$T$82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8" i="7" l="1"/>
  <c r="I67" i="7"/>
  <c r="I66" i="7"/>
  <c r="D70" i="7" s="1"/>
  <c r="E79" i="7" s="1"/>
  <c r="R59" i="7"/>
  <c r="C59" i="7"/>
  <c r="R58" i="7"/>
  <c r="C58" i="7"/>
  <c r="B58" i="7"/>
  <c r="B57" i="7"/>
  <c r="B56" i="7"/>
  <c r="B55" i="7"/>
  <c r="B54" i="7"/>
  <c r="B53" i="7"/>
  <c r="C48" i="7"/>
  <c r="D39" i="7"/>
  <c r="D43" i="7" s="1"/>
  <c r="G35" i="7"/>
  <c r="I35" i="7" s="1"/>
  <c r="E35" i="7"/>
  <c r="E28" i="7"/>
  <c r="E25" i="7"/>
  <c r="I39" i="7" s="1"/>
  <c r="I43" i="7" s="1"/>
  <c r="G18" i="7"/>
  <c r="E29" i="7" s="1"/>
  <c r="E18" i="7"/>
  <c r="G98" i="8"/>
  <c r="G91" i="8"/>
  <c r="G93" i="8" s="1"/>
  <c r="I85" i="8"/>
  <c r="I84" i="8"/>
  <c r="I83" i="8"/>
  <c r="D76" i="8"/>
  <c r="D75" i="8"/>
  <c r="C75" i="8" s="1"/>
  <c r="C74" i="8"/>
  <c r="C73" i="8"/>
  <c r="C72" i="8"/>
  <c r="C71" i="8"/>
  <c r="C70" i="8"/>
  <c r="H62" i="8"/>
  <c r="C58" i="8"/>
  <c r="D53" i="8"/>
  <c r="I52" i="8"/>
  <c r="D52" i="8"/>
  <c r="D49" i="8"/>
  <c r="G45" i="8"/>
  <c r="I45" i="8" s="1"/>
  <c r="E45" i="8"/>
  <c r="J41" i="8"/>
  <c r="E41" i="8"/>
  <c r="J38" i="8"/>
  <c r="E35" i="8"/>
  <c r="E28" i="8"/>
  <c r="G28" i="8" s="1"/>
  <c r="E39" i="8" s="1"/>
  <c r="H15" i="8"/>
  <c r="H14" i="8"/>
  <c r="G100" i="5"/>
  <c r="G93" i="5"/>
  <c r="G95" i="5" s="1"/>
  <c r="F84" i="5"/>
  <c r="F82" i="5"/>
  <c r="F81" i="5"/>
  <c r="F80" i="5"/>
  <c r="I80" i="5" s="1"/>
  <c r="E80" i="5"/>
  <c r="E81" i="5" s="1"/>
  <c r="E82" i="5" s="1"/>
  <c r="E83" i="5" s="1"/>
  <c r="E84" i="5" s="1"/>
  <c r="E85" i="5" s="1"/>
  <c r="H71" i="5"/>
  <c r="G63" i="5"/>
  <c r="G72" i="5" s="1"/>
  <c r="G60" i="5"/>
  <c r="F85" i="5" s="1"/>
  <c r="G54" i="5"/>
  <c r="F56" i="5" s="1"/>
  <c r="C57" i="5" s="1"/>
  <c r="G42" i="5"/>
  <c r="G41" i="5"/>
  <c r="G43" i="5" s="1"/>
  <c r="G35" i="5"/>
  <c r="G32" i="5"/>
  <c r="G31" i="5"/>
  <c r="G25" i="5"/>
  <c r="G66" i="5" s="1"/>
  <c r="F70" i="5" s="1"/>
  <c r="G22" i="5"/>
  <c r="G21" i="5"/>
  <c r="G9" i="5"/>
  <c r="G107" i="6"/>
  <c r="G109" i="6" s="1"/>
  <c r="G100" i="6"/>
  <c r="G102" i="6" s="1"/>
  <c r="G93" i="6"/>
  <c r="G95" i="6" s="1"/>
  <c r="F86" i="6"/>
  <c r="C86" i="6"/>
  <c r="C85" i="6"/>
  <c r="B85" i="6"/>
  <c r="B84" i="6"/>
  <c r="B83" i="6"/>
  <c r="F82" i="6"/>
  <c r="G82" i="6" s="1"/>
  <c r="B82" i="6"/>
  <c r="B81" i="6"/>
  <c r="B80" i="6"/>
  <c r="G72" i="6"/>
  <c r="H71" i="6"/>
  <c r="G63" i="6"/>
  <c r="G60" i="6"/>
  <c r="F84" i="6" s="1"/>
  <c r="G54" i="6"/>
  <c r="F56" i="6" s="1"/>
  <c r="C57" i="6" s="1"/>
  <c r="G42" i="6"/>
  <c r="G41" i="6"/>
  <c r="G43" i="6" s="1"/>
  <c r="G35" i="6"/>
  <c r="G32" i="6"/>
  <c r="G31" i="6"/>
  <c r="G25" i="6"/>
  <c r="G66" i="6" s="1"/>
  <c r="F70" i="6" s="1"/>
  <c r="G22" i="6"/>
  <c r="G21" i="6"/>
  <c r="G9" i="6"/>
  <c r="E80" i="6" l="1"/>
  <c r="E81" i="6" s="1"/>
  <c r="E82" i="6" s="1"/>
  <c r="E83" i="6" s="1"/>
  <c r="E84" i="6" s="1"/>
  <c r="E85" i="6" s="1"/>
  <c r="E86" i="6" s="1"/>
  <c r="F83" i="6"/>
  <c r="G83" i="6" s="1"/>
  <c r="G102" i="5"/>
  <c r="G25" i="7"/>
  <c r="J29" i="7" s="1"/>
  <c r="H25" i="7"/>
  <c r="E32" i="7"/>
  <c r="H46" i="7" s="1"/>
  <c r="H48" i="7" s="1"/>
  <c r="J28" i="7"/>
  <c r="F57" i="7" s="1"/>
  <c r="D87" i="8"/>
  <c r="G100" i="8" s="1"/>
  <c r="E109" i="8" s="1"/>
  <c r="F81" i="6"/>
  <c r="F85" i="6"/>
  <c r="G85" i="6" s="1"/>
  <c r="F83" i="5"/>
  <c r="G83" i="5" s="1"/>
  <c r="I49" i="8"/>
  <c r="I53" i="8" s="1"/>
  <c r="H57" i="8" s="1"/>
  <c r="H47" i="7"/>
  <c r="E74" i="7"/>
  <c r="F56" i="7"/>
  <c r="G84" i="6"/>
  <c r="I82" i="5"/>
  <c r="E104" i="8"/>
  <c r="I81" i="5"/>
  <c r="I84" i="5"/>
  <c r="I85" i="5"/>
  <c r="C55" i="5"/>
  <c r="C56" i="5" s="1"/>
  <c r="G81" i="5"/>
  <c r="G85" i="5"/>
  <c r="I83" i="6"/>
  <c r="G81" i="6"/>
  <c r="I82" i="6"/>
  <c r="G82" i="5"/>
  <c r="G35" i="8"/>
  <c r="J39" i="8" s="1"/>
  <c r="G75" i="8" s="1"/>
  <c r="E38" i="8"/>
  <c r="E42" i="8" s="1"/>
  <c r="J32" i="7"/>
  <c r="G36" i="7" s="1"/>
  <c r="H80" i="6"/>
  <c r="H81" i="6" s="1"/>
  <c r="H82" i="6" s="1"/>
  <c r="H83" i="6" s="1"/>
  <c r="H84" i="6" s="1"/>
  <c r="H85" i="6" s="1"/>
  <c r="C55" i="6"/>
  <c r="C56" i="6" s="1"/>
  <c r="G86" i="6"/>
  <c r="F55" i="7"/>
  <c r="G80" i="5"/>
  <c r="G84" i="5"/>
  <c r="F80" i="6"/>
  <c r="H35" i="8"/>
  <c r="G71" i="8" l="1"/>
  <c r="E73" i="7"/>
  <c r="E36" i="7"/>
  <c r="F59" i="7"/>
  <c r="F54" i="7"/>
  <c r="G54" i="7" s="1"/>
  <c r="J42" i="8"/>
  <c r="E63" i="8" s="1"/>
  <c r="F53" i="7"/>
  <c r="G53" i="7" s="1"/>
  <c r="I36" i="7"/>
  <c r="F58" i="7"/>
  <c r="E53" i="7"/>
  <c r="E54" i="7" s="1"/>
  <c r="E55" i="7" s="1"/>
  <c r="E56" i="7" s="1"/>
  <c r="E57" i="7" s="1"/>
  <c r="E58" i="7" s="1"/>
  <c r="E59" i="7" s="1"/>
  <c r="I83" i="5"/>
  <c r="F87" i="5" s="1"/>
  <c r="H75" i="8"/>
  <c r="E103" i="8"/>
  <c r="H56" i="8"/>
  <c r="H58" i="8" s="1"/>
  <c r="E46" i="8"/>
  <c r="G76" i="8"/>
  <c r="G73" i="8"/>
  <c r="G70" i="8"/>
  <c r="F70" i="8"/>
  <c r="F71" i="8" s="1"/>
  <c r="F72" i="8" s="1"/>
  <c r="F73" i="8" s="1"/>
  <c r="F74" i="8" s="1"/>
  <c r="F75" i="8" s="1"/>
  <c r="F76" i="8" s="1"/>
  <c r="I84" i="6"/>
  <c r="H71" i="8"/>
  <c r="G57" i="7"/>
  <c r="G56" i="7"/>
  <c r="G55" i="7"/>
  <c r="G58" i="7"/>
  <c r="G74" i="8"/>
  <c r="G72" i="8"/>
  <c r="I81" i="6"/>
  <c r="G80" i="6"/>
  <c r="I80" i="6"/>
  <c r="I85" i="6"/>
  <c r="H86" i="6"/>
  <c r="I86" i="6" s="1"/>
  <c r="E75" i="7"/>
  <c r="E76" i="7" s="1"/>
  <c r="H53" i="7"/>
  <c r="H54" i="7" s="1"/>
  <c r="H55" i="7" s="1"/>
  <c r="H56" i="7" s="1"/>
  <c r="H57" i="7" s="1"/>
  <c r="H58" i="7" s="1"/>
  <c r="H59" i="7" s="1"/>
  <c r="I59" i="7" s="1"/>
  <c r="G59" i="7"/>
  <c r="G46" i="8" l="1"/>
  <c r="I56" i="7"/>
  <c r="F87" i="6"/>
  <c r="H76" i="8"/>
  <c r="I70" i="8"/>
  <c r="I71" i="8" s="1"/>
  <c r="F61" i="8"/>
  <c r="E105" i="8"/>
  <c r="E106" i="8" s="1"/>
  <c r="I57" i="7"/>
  <c r="I54" i="7"/>
  <c r="I46" i="8"/>
  <c r="H74" i="8"/>
  <c r="I58" i="7"/>
  <c r="I53" i="7"/>
  <c r="E61" i="7" s="1"/>
  <c r="E78" i="7" s="1"/>
  <c r="E80" i="7" s="1"/>
  <c r="H72" i="8"/>
  <c r="H70" i="8"/>
  <c r="J70" i="8"/>
  <c r="I55" i="7"/>
  <c r="H73" i="8"/>
  <c r="I72" i="8" l="1"/>
  <c r="J71" i="8"/>
  <c r="I73" i="8" l="1"/>
  <c r="J72" i="8"/>
  <c r="I74" i="8" l="1"/>
  <c r="J73" i="8"/>
  <c r="I75" i="8" l="1"/>
  <c r="J74" i="8"/>
  <c r="I76" i="8" l="1"/>
  <c r="J76" i="8" s="1"/>
  <c r="E78" i="8" s="1"/>
  <c r="E108" i="8" s="1"/>
  <c r="E110" i="8" s="1"/>
  <c r="J75" i="8"/>
</calcChain>
</file>

<file path=xl/sharedStrings.xml><?xml version="1.0" encoding="utf-8"?>
<sst xmlns="http://schemas.openxmlformats.org/spreadsheetml/2006/main" count="651" uniqueCount="204">
  <si>
    <t>On-site Storage Volume Calculation</t>
  </si>
  <si>
    <t>Modified Rational Method -Small Catchment</t>
  </si>
  <si>
    <t>Reference</t>
  </si>
  <si>
    <t>City of Maple Ridge, Design Criteria Manual, Part 1- Section D- Drainage</t>
  </si>
  <si>
    <t>September, 2015</t>
  </si>
  <si>
    <t>Approximate Development Elevation</t>
  </si>
  <si>
    <t>34 m</t>
  </si>
  <si>
    <t>Use Metro Vancouver Rain station at Golden Ears Elementary School</t>
  </si>
  <si>
    <t>MAR storm event depth=</t>
  </si>
  <si>
    <t>3.06mm/hr</t>
  </si>
  <si>
    <t>*24=</t>
  </si>
  <si>
    <t>mm</t>
  </si>
  <si>
    <t>Tier A=</t>
  </si>
  <si>
    <t>or less</t>
  </si>
  <si>
    <t>Tier B=</t>
  </si>
  <si>
    <t xml:space="preserve">to </t>
  </si>
  <si>
    <t>Tier C=</t>
  </si>
  <si>
    <t>or larger</t>
  </si>
  <si>
    <t>Given:</t>
  </si>
  <si>
    <t>Catchment Area (post development)=</t>
  </si>
  <si>
    <t>m2</t>
  </si>
  <si>
    <t>Ha</t>
  </si>
  <si>
    <t xml:space="preserve">Runoff coefficient </t>
  </si>
  <si>
    <t>Low Density Res.</t>
  </si>
  <si>
    <t>Soil Adjust Factor</t>
  </si>
  <si>
    <t>Clay soil flat</t>
  </si>
  <si>
    <t>Runoff coefficient xSAF=</t>
  </si>
  <si>
    <t>Time of concentration Tc=</t>
  </si>
  <si>
    <t>minutes</t>
  </si>
  <si>
    <t>Storm frequency</t>
  </si>
  <si>
    <t>years</t>
  </si>
  <si>
    <t>m3/s</t>
  </si>
  <si>
    <t>Find:</t>
  </si>
  <si>
    <t>Maximum storage required to detain the 1:5 year post-developped runoff to the specified release rate of 0.05 m3/s</t>
  </si>
  <si>
    <t>Step 1</t>
  </si>
  <si>
    <t>Step 2</t>
  </si>
  <si>
    <t>Step 3</t>
  </si>
  <si>
    <t>Step 4</t>
  </si>
  <si>
    <t>Select Storm Range Tr &gt;=Tc, Calculate Qp2=RAIN</t>
  </si>
  <si>
    <t>Step 5</t>
  </si>
  <si>
    <t>Calculate inflow runoff volume Qp2xTr</t>
  </si>
  <si>
    <t>Step 6</t>
  </si>
  <si>
    <t>Compute required storage volumne</t>
  </si>
  <si>
    <t>V=Tr(Qp2-Qrel)+0.5Tc(1/Qp2-1/Qp1)Qrel^2</t>
  </si>
  <si>
    <t>Step 7</t>
  </si>
  <si>
    <t xml:space="preserve">Select maximum storage </t>
  </si>
  <si>
    <t>Hydo. No.</t>
  </si>
  <si>
    <t>Rainfall Duration Tr min</t>
  </si>
  <si>
    <t>Rainfall Intensity i mm/hr</t>
  </si>
  <si>
    <t>10 min Peak Flow Qp1 m3/s</t>
  </si>
  <si>
    <t>Tr Peak Flow Qp2 m3/s</t>
  </si>
  <si>
    <t>Inflow Runoff Volume m3</t>
  </si>
  <si>
    <t>Max release Qrel m3/s</t>
  </si>
  <si>
    <t>Required Storage Volume m3</t>
  </si>
  <si>
    <t>Select Maximum Storage Volume=</t>
  </si>
  <si>
    <t>m3</t>
  </si>
  <si>
    <t>Objective</t>
  </si>
  <si>
    <t>Catchment Area Characteristics</t>
  </si>
  <si>
    <t>Total Catchment Area (Post-development) =</t>
  </si>
  <si>
    <t>Impervious Area</t>
  </si>
  <si>
    <t>Pervious area</t>
  </si>
  <si>
    <t>Proposed  Catchment Area</t>
  </si>
  <si>
    <t>Bldg,patio,deck,curbs,driveway,etc.=</t>
  </si>
  <si>
    <t>Landscaping, driveway(permeable pavers),etc.=</t>
  </si>
  <si>
    <t>Percentage impervious=</t>
  </si>
  <si>
    <t>Net impervious area increase</t>
  </si>
  <si>
    <t>Proposed impervious area=</t>
  </si>
  <si>
    <t>Existing impervious area=</t>
  </si>
  <si>
    <t>-</t>
  </si>
  <si>
    <t>Net increase in impervious area</t>
  </si>
  <si>
    <t>10-Year Peak Flow Storm Event Calculations</t>
  </si>
  <si>
    <t>10-year-24hr storm event depth=</t>
  </si>
  <si>
    <t>5.26mm/hr</t>
  </si>
  <si>
    <t>Reference: City of Maple Ridge Design Criteria Section D5.1</t>
  </si>
  <si>
    <t>Composite Post Development Runoff Coefficient</t>
  </si>
  <si>
    <t>"The Stormwater Management Plan submitted is in accordance with the City of Maple Ridge Design Criteria and Construction Documents - Part 1 - Section D- Drainage."</t>
  </si>
  <si>
    <t>Stormwater Management Calculation</t>
  </si>
  <si>
    <t>Runoff Analysis</t>
  </si>
  <si>
    <t>Pre-Development  Catchment Area</t>
  </si>
  <si>
    <r>
      <t xml:space="preserve">Design Flow in </t>
    </r>
    <r>
      <rPr>
        <sz val="11"/>
        <color theme="1"/>
        <rFont val="等线"/>
        <family val="2"/>
        <scheme val="minor"/>
      </rPr>
      <t>10</t>
    </r>
    <r>
      <rPr>
        <sz val="11"/>
        <color theme="1"/>
        <rFont val="等线"/>
        <family val="2"/>
        <scheme val="minor"/>
      </rPr>
      <t>-year rainfall indensity</t>
    </r>
  </si>
  <si>
    <r>
      <t>Q-</t>
    </r>
    <r>
      <rPr>
        <sz val="11"/>
        <color theme="1"/>
        <rFont val="等线"/>
        <family val="2"/>
        <scheme val="minor"/>
      </rPr>
      <t>pre-dp</t>
    </r>
    <r>
      <rPr>
        <sz val="11"/>
        <color theme="1"/>
        <rFont val="等线"/>
        <family val="2"/>
        <scheme val="minor"/>
      </rPr>
      <t>=</t>
    </r>
  </si>
  <si>
    <r>
      <t>Q-</t>
    </r>
    <r>
      <rPr>
        <sz val="11"/>
        <color theme="1"/>
        <rFont val="等线"/>
        <family val="2"/>
        <scheme val="minor"/>
      </rPr>
      <t>post-dp</t>
    </r>
    <r>
      <rPr>
        <sz val="11"/>
        <color theme="1"/>
        <rFont val="等线"/>
        <family val="2"/>
        <scheme val="minor"/>
      </rPr>
      <t>=</t>
    </r>
  </si>
  <si>
    <t xml:space="preserve">Q-post-dp is larger than Q-pre-dp, therefore, stormwater detention method shall be </t>
  </si>
  <si>
    <t>applied. Stormceptor is used in this projet.</t>
  </si>
  <si>
    <r>
      <t>Maxium Release Rate</t>
    </r>
    <r>
      <rPr>
        <sz val="11"/>
        <color theme="1"/>
        <rFont val="等线"/>
        <family val="2"/>
        <scheme val="minor"/>
      </rPr>
      <t>-predevelopment</t>
    </r>
  </si>
  <si>
    <t>Given maximum release rate Qrel=</t>
  </si>
  <si>
    <r>
      <t>m</t>
    </r>
    <r>
      <rPr>
        <sz val="11"/>
        <color theme="1"/>
        <rFont val="等线"/>
        <family val="2"/>
        <scheme val="minor"/>
      </rPr>
      <t>3/s</t>
    </r>
  </si>
  <si>
    <r>
      <t>Calculate time of concentration Tc of basin,single family lot</t>
    </r>
    <r>
      <rPr>
        <sz val="11"/>
        <color theme="1"/>
        <rFont val="等线"/>
        <family val="2"/>
        <scheme val="minor"/>
      </rPr>
      <t xml:space="preserve"> Tc=</t>
    </r>
  </si>
  <si>
    <r>
      <t>m</t>
    </r>
    <r>
      <rPr>
        <sz val="11"/>
        <color theme="1"/>
        <rFont val="等线"/>
        <family val="2"/>
        <scheme val="minor"/>
      </rPr>
      <t>in</t>
    </r>
  </si>
  <si>
    <r>
      <t>Peak flow Qp1=RAIN</t>
    </r>
    <r>
      <rPr>
        <sz val="11"/>
        <color theme="1"/>
        <rFont val="等线"/>
        <family val="2"/>
        <scheme val="minor"/>
      </rPr>
      <t>=</t>
    </r>
  </si>
  <si>
    <t>Rainfall Duration Tr in Hour</t>
  </si>
  <si>
    <r>
      <t>Select Maximum Storage Volume</t>
    </r>
    <r>
      <rPr>
        <sz val="11"/>
        <color theme="1"/>
        <rFont val="等线"/>
        <family val="2"/>
        <scheme val="minor"/>
      </rPr>
      <t xml:space="preserve"> for 1 hour </t>
    </r>
    <r>
      <rPr>
        <sz val="11"/>
        <color theme="1"/>
        <rFont val="等线"/>
        <family val="2"/>
        <scheme val="minor"/>
      </rPr>
      <t>=</t>
    </r>
  </si>
  <si>
    <t>Capture Methods</t>
  </si>
  <si>
    <t>Pipe storage</t>
  </si>
  <si>
    <t>Diameter=</t>
  </si>
  <si>
    <t>Area per meter=</t>
  </si>
  <si>
    <t>Length=</t>
  </si>
  <si>
    <t>m</t>
  </si>
  <si>
    <t>Volume</t>
  </si>
  <si>
    <r>
      <t>C</t>
    </r>
    <r>
      <rPr>
        <sz val="11"/>
        <color theme="1"/>
        <rFont val="等线"/>
        <family val="2"/>
        <scheme val="minor"/>
      </rPr>
      <t>atch Basin</t>
    </r>
  </si>
  <si>
    <r>
      <t>D</t>
    </r>
    <r>
      <rPr>
        <sz val="11"/>
        <color theme="1"/>
        <rFont val="等线"/>
        <family val="2"/>
        <scheme val="minor"/>
      </rPr>
      <t>iameter</t>
    </r>
  </si>
  <si>
    <t>Height=</t>
  </si>
  <si>
    <t>Volume=</t>
  </si>
  <si>
    <r>
      <t>A</t>
    </r>
    <r>
      <rPr>
        <sz val="11"/>
        <color theme="1"/>
        <rFont val="等线"/>
        <family val="2"/>
        <scheme val="minor"/>
      </rPr>
      <t>mount=</t>
    </r>
  </si>
  <si>
    <t>Volum total=</t>
  </si>
  <si>
    <r>
      <t>m</t>
    </r>
    <r>
      <rPr>
        <sz val="11"/>
        <color theme="1"/>
        <rFont val="等线"/>
        <family val="2"/>
        <scheme val="minor"/>
      </rPr>
      <t>3</t>
    </r>
  </si>
  <si>
    <t>Stormceptor</t>
  </si>
  <si>
    <t>Total Designed Storage Volume=</t>
  </si>
  <si>
    <t xml:space="preserve"> Designed storage volume is larger than required required storage volume</t>
  </si>
  <si>
    <r>
      <t>T</t>
    </r>
    <r>
      <rPr>
        <sz val="11"/>
        <color theme="1"/>
        <rFont val="等线"/>
        <family val="2"/>
        <scheme val="minor"/>
      </rPr>
      <t>herefore, meet design criteria</t>
    </r>
  </si>
  <si>
    <t>Exfiltration Trench</t>
  </si>
  <si>
    <t>XT Engineering Ltd.</t>
  </si>
  <si>
    <t>by Xiangyang Tan, P.Eng</t>
  </si>
  <si>
    <t>Project</t>
  </si>
  <si>
    <t>Single House</t>
  </si>
  <si>
    <t>Address:</t>
  </si>
  <si>
    <t>12157 220 Street, Maple Ridge, BC</t>
  </si>
  <si>
    <t>Subject</t>
  </si>
  <si>
    <t>Stormwater management plan</t>
  </si>
  <si>
    <t>Section</t>
  </si>
  <si>
    <t>SMP source control calculation</t>
  </si>
  <si>
    <t>Rainfall Intensity</t>
  </si>
  <si>
    <t>Duration min</t>
  </si>
  <si>
    <t>Maple Ridge 2-year (mm/hr)</t>
  </si>
  <si>
    <t>Maple Ridge 10 year (mm/hr)</t>
  </si>
  <si>
    <t>Limit runoff from the 1:10 year storm event to pre-development levels</t>
  </si>
  <si>
    <t>Soil description=</t>
  </si>
  <si>
    <t>Soil</t>
  </si>
  <si>
    <t>Infiltration rate=</t>
  </si>
  <si>
    <t>m/s</t>
  </si>
  <si>
    <t>Infiltration or detention=</t>
  </si>
  <si>
    <t>Detention</t>
  </si>
  <si>
    <t>Pre-development catchment area</t>
  </si>
  <si>
    <t>area</t>
  </si>
  <si>
    <t>C value</t>
  </si>
  <si>
    <t>Buidling area (impervious)=</t>
  </si>
  <si>
    <t>hardscape area (impervious)=</t>
  </si>
  <si>
    <t>landscape area(pervious)=</t>
  </si>
  <si>
    <t>Total=</t>
  </si>
  <si>
    <t>Post-development catchment area</t>
  </si>
  <si>
    <t>% Controlled</t>
  </si>
  <si>
    <t>pool area=</t>
  </si>
  <si>
    <t>Pre-development peak flow</t>
  </si>
  <si>
    <t>Post-development peak flow</t>
  </si>
  <si>
    <t>Area of Site=</t>
  </si>
  <si>
    <t>Site C value=</t>
  </si>
  <si>
    <t>Time concentration=</t>
  </si>
  <si>
    <t>min</t>
  </si>
  <si>
    <t>Intensity=</t>
  </si>
  <si>
    <t>mm/hr</t>
  </si>
  <si>
    <t>Peak flow=</t>
  </si>
  <si>
    <t>l/s</t>
  </si>
  <si>
    <t>Summary of changes</t>
  </si>
  <si>
    <t>Pre-development</t>
  </si>
  <si>
    <t>Post-development</t>
  </si>
  <si>
    <t>%Change</t>
  </si>
  <si>
    <t>Total impervious area</t>
  </si>
  <si>
    <t>Peak flow</t>
  </si>
  <si>
    <t>Controlled flow</t>
  </si>
  <si>
    <t>Uncontrolled flow</t>
  </si>
  <si>
    <t>Area=</t>
  </si>
  <si>
    <t>C value=</t>
  </si>
  <si>
    <t>Time conc.=</t>
  </si>
  <si>
    <t>Peak Flow=</t>
  </si>
  <si>
    <t>Orifice Size</t>
  </si>
  <si>
    <t>Net head=</t>
  </si>
  <si>
    <t>Pre-develop peak=</t>
  </si>
  <si>
    <t>Orifice dia.=</t>
  </si>
  <si>
    <t>Uncontrolled flow=</t>
  </si>
  <si>
    <t>Flow=</t>
  </si>
  <si>
    <t>Max. release rate=</t>
  </si>
  <si>
    <t>Peak storage requirements (modified rational method)</t>
  </si>
  <si>
    <r>
      <t>l</t>
    </r>
    <r>
      <rPr>
        <sz val="11"/>
        <color theme="1"/>
        <rFont val="等线"/>
        <family val="2"/>
        <scheme val="minor"/>
      </rPr>
      <t>/s</t>
    </r>
  </si>
  <si>
    <t>Peak storage requirement=</t>
  </si>
  <si>
    <t>Storage Method</t>
  </si>
  <si>
    <t>Detention Tank</t>
  </si>
  <si>
    <t>Brentwood Tile block ST-18 wrapped with Waterproof cloths</t>
  </si>
  <si>
    <t>Module Depth=</t>
  </si>
  <si>
    <t>Modules</t>
  </si>
  <si>
    <t>Depth</t>
  </si>
  <si>
    <t>Module Width=</t>
  </si>
  <si>
    <t>Width</t>
  </si>
  <si>
    <t>Module Length=</t>
  </si>
  <si>
    <t>Length</t>
  </si>
  <si>
    <t>Void space %</t>
  </si>
  <si>
    <t>Total Volume=</t>
  </si>
  <si>
    <r>
      <t>C</t>
    </r>
    <r>
      <rPr>
        <u/>
        <sz val="11"/>
        <color theme="1"/>
        <rFont val="等线"/>
        <family val="3"/>
        <charset val="134"/>
        <scheme val="minor"/>
      </rPr>
      <t>atch basin</t>
    </r>
  </si>
  <si>
    <t>Total designed storage volume=</t>
  </si>
  <si>
    <t>Summary</t>
  </si>
  <si>
    <t>Pre-development peak flow=</t>
  </si>
  <si>
    <t>Uncontrolled peak flow</t>
  </si>
  <si>
    <t>Controlled peak flow=</t>
  </si>
  <si>
    <t>Designed post-develoment release peak flow exceeds</t>
  </si>
  <si>
    <t>than predevelpment peak flow.</t>
  </si>
  <si>
    <t>Storage provided=</t>
  </si>
  <si>
    <t xml:space="preserve">Designed Storage exceeds </t>
  </si>
  <si>
    <t>than requirement catchment storage volume.</t>
  </si>
  <si>
    <t>West Vancouver</t>
  </si>
  <si>
    <t>Sandy Loam</t>
  </si>
  <si>
    <t>infiltration</t>
  </si>
  <si>
    <t>Maple Ridge 2-year</t>
  </si>
  <si>
    <t>Maple Ridge 10 year</t>
  </si>
  <si>
    <t>Excess flow=</t>
  </si>
  <si>
    <t>Excess storage=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</si>
</sst>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%"/>
    <numFmt numFmtId="177" formatCode="0.00_ "/>
    <numFmt numFmtId="178" formatCode="0.0000_ "/>
    <numFmt numFmtId="179" formatCode="0.0_ "/>
    <numFmt numFmtId="180" formatCode="0.000_ "/>
  </numFmts>
  <fonts count="18">
    <font>
      <sz val="11"/>
      <color theme="1"/>
      <name val="Arial Unicode MS"/>
      <family val="2"/>
      <charset val="134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Arial Unicode MS"/>
      <family val="2"/>
      <charset val="134"/>
    </font>
    <font>
      <sz val="11"/>
      <color rgb="FFFF0000"/>
      <name val="等线"/>
      <family val="2"/>
      <scheme val="minor"/>
    </font>
    <font>
      <b/>
      <sz val="11"/>
      <color theme="1"/>
      <name val="等线"/>
      <family val="2"/>
      <scheme val="minor"/>
    </font>
    <font>
      <b/>
      <sz val="12"/>
      <color theme="1"/>
      <name val="等线"/>
      <family val="2"/>
      <scheme val="minor"/>
    </font>
    <font>
      <b/>
      <i/>
      <sz val="11"/>
      <color theme="1"/>
      <name val="等线"/>
      <family val="2"/>
      <scheme val="minor"/>
    </font>
    <font>
      <u/>
      <sz val="11"/>
      <color theme="1"/>
      <name val="等线"/>
      <family val="2"/>
      <scheme val="minor"/>
    </font>
    <font>
      <sz val="11"/>
      <color rgb="FFFF0000"/>
      <name val="Arial Unicode MS"/>
      <family val="2"/>
      <charset val="134"/>
    </font>
    <font>
      <b/>
      <sz val="11"/>
      <color theme="1"/>
      <name val="Arial Unicode MS"/>
      <family val="2"/>
      <charset val="134"/>
    </font>
    <font>
      <b/>
      <sz val="11"/>
      <color theme="1"/>
      <name val="等线"/>
      <family val="3"/>
      <charset val="134"/>
      <scheme val="minor"/>
    </font>
    <font>
      <u/>
      <sz val="11"/>
      <color theme="1"/>
      <name val="Arial Unicode MS"/>
      <family val="2"/>
      <charset val="134"/>
    </font>
    <font>
      <sz val="11"/>
      <name val="等线"/>
      <family val="2"/>
      <scheme val="minor"/>
    </font>
    <font>
      <b/>
      <u/>
      <sz val="11"/>
      <color theme="1"/>
      <name val="Arial Unicode MS"/>
      <family val="2"/>
      <charset val="134"/>
    </font>
    <font>
      <sz val="11"/>
      <color rgb="FFC00000"/>
      <name val="Arial Unicode MS"/>
      <family val="2"/>
      <charset val="134"/>
    </font>
    <font>
      <sz val="11"/>
      <name val="Arial Unicode MS"/>
      <family val="2"/>
      <charset val="134"/>
    </font>
    <font>
      <u/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177" fontId="4" fillId="0" borderId="0" xfId="0" applyNumberFormat="1" applyFont="1">
      <alignment vertical="center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78" fontId="2" fillId="0" borderId="2" xfId="0" applyNumberFormat="1" applyFont="1" applyBorder="1" applyAlignment="1">
      <alignment vertical="center" wrapText="1"/>
    </xf>
    <xf numFmtId="177" fontId="2" fillId="0" borderId="2" xfId="0" applyNumberFormat="1" applyFont="1" applyBorder="1" applyAlignment="1">
      <alignment vertical="center" wrapText="1"/>
    </xf>
    <xf numFmtId="179" fontId="2" fillId="0" borderId="2" xfId="0" applyNumberFormat="1" applyFont="1" applyBorder="1" applyAlignment="1">
      <alignment vertical="center" wrapText="1"/>
    </xf>
    <xf numFmtId="177" fontId="4" fillId="0" borderId="2" xfId="0" applyNumberFormat="1" applyFont="1" applyBorder="1" applyAlignment="1">
      <alignment vertical="center" wrapText="1"/>
    </xf>
    <xf numFmtId="179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0" fontId="8" fillId="0" borderId="0" xfId="0" applyFont="1">
      <alignment vertical="center"/>
    </xf>
    <xf numFmtId="177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11" fillId="0" borderId="0" xfId="0" applyFont="1">
      <alignment vertical="center"/>
    </xf>
    <xf numFmtId="178" fontId="1" fillId="0" borderId="2" xfId="0" applyNumberFormat="1" applyFont="1" applyBorder="1" applyAlignment="1">
      <alignment vertical="center" wrapText="1"/>
    </xf>
    <xf numFmtId="180" fontId="2" fillId="0" borderId="0" xfId="0" applyNumberFormat="1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9" fontId="0" fillId="0" borderId="0" xfId="0" applyNumberFormat="1">
      <alignment vertical="center"/>
    </xf>
    <xf numFmtId="177" fontId="11" fillId="0" borderId="0" xfId="0" applyNumberFormat="1" applyFont="1">
      <alignment vertical="center"/>
    </xf>
    <xf numFmtId="177" fontId="13" fillId="0" borderId="2" xfId="0" applyNumberFormat="1" applyFont="1" applyBorder="1" applyAlignment="1">
      <alignment vertical="center" wrapText="1"/>
    </xf>
    <xf numFmtId="11" fontId="0" fillId="0" borderId="0" xfId="0" applyNumberFormat="1">
      <alignment vertical="center"/>
    </xf>
    <xf numFmtId="0" fontId="14" fillId="0" borderId="0" xfId="0" applyFont="1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10" fillId="0" borderId="0" xfId="0" applyNumberFormat="1" applyFont="1">
      <alignment vertical="center"/>
    </xf>
    <xf numFmtId="0" fontId="15" fillId="2" borderId="0" xfId="0" applyFont="1" applyFill="1">
      <alignment vertical="center"/>
    </xf>
    <xf numFmtId="0" fontId="5" fillId="0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79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0" fillId="0" borderId="0" xfId="0" applyFont="1">
      <alignment vertical="center"/>
    </xf>
    <xf numFmtId="11" fontId="0" fillId="0" borderId="0" xfId="0" applyNumberFormat="1" applyFont="1">
      <alignment vertical="center"/>
    </xf>
    <xf numFmtId="177" fontId="0" fillId="0" borderId="0" xfId="0" applyNumberFormat="1" applyFont="1">
      <alignment vertical="center"/>
    </xf>
    <xf numFmtId="9" fontId="0" fillId="0" borderId="0" xfId="0" applyNumberFormat="1" applyFont="1">
      <alignment vertical="center"/>
    </xf>
    <xf numFmtId="176" fontId="0" fillId="0" borderId="0" xfId="0" applyNumberFormat="1" applyFo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177" fontId="16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178" fontId="0" fillId="0" borderId="2" xfId="0" applyNumberFormat="1" applyFont="1" applyBorder="1" applyAlignment="1">
      <alignment vertical="center" wrapText="1"/>
    </xf>
    <xf numFmtId="177" fontId="0" fillId="0" borderId="2" xfId="0" applyNumberFormat="1" applyFont="1" applyBorder="1" applyAlignment="1">
      <alignment vertical="center" wrapText="1"/>
    </xf>
    <xf numFmtId="179" fontId="0" fillId="0" borderId="2" xfId="0" applyNumberFormat="1" applyFont="1" applyBorder="1" applyAlignment="1">
      <alignment vertical="center" wrapText="1"/>
    </xf>
    <xf numFmtId="177" fontId="9" fillId="0" borderId="2" xfId="0" applyNumberFormat="1" applyFont="1" applyBorder="1" applyAlignment="1">
      <alignment vertical="center" wrapText="1"/>
    </xf>
    <xf numFmtId="179" fontId="0" fillId="0" borderId="0" xfId="0" applyNumberFormat="1" applyFont="1">
      <alignment vertical="center"/>
    </xf>
    <xf numFmtId="10" fontId="0" fillId="0" borderId="0" xfId="0" applyNumberFormat="1" applyFont="1">
      <alignment vertical="center"/>
    </xf>
    <xf numFmtId="0" fontId="9" fillId="0" borderId="0" xfId="0" applyFont="1" applyBorder="1" applyAlignment="1">
      <alignment vertical="center" wrapText="1"/>
    </xf>
    <xf numFmtId="177" fontId="9" fillId="0" borderId="0" xfId="0" applyNumberFormat="1" applyFont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2"/>
  <sheetViews>
    <sheetView view="pageBreakPreview" topLeftCell="A88" zoomScale="140" zoomScaleNormal="100" zoomScaleSheetLayoutView="140" workbookViewId="0">
      <selection activeCell="G93" sqref="G93"/>
    </sheetView>
  </sheetViews>
  <sheetFormatPr defaultRowHeight="14.25"/>
  <cols>
    <col min="1" max="1" width="9" style="2"/>
    <col min="2" max="2" width="8.75" style="2" customWidth="1"/>
    <col min="3" max="3" width="9" style="2"/>
    <col min="4" max="4" width="13.375" style="2" customWidth="1"/>
    <col min="5" max="5" width="9" style="2"/>
    <col min="6" max="6" width="10.25" style="2" customWidth="1"/>
    <col min="7" max="7" width="9.5" style="2" bestFit="1" customWidth="1"/>
    <col min="8" max="16384" width="9" style="2"/>
  </cols>
  <sheetData>
    <row r="1" spans="1:9" ht="15.75">
      <c r="B1" s="1" t="s">
        <v>76</v>
      </c>
    </row>
    <row r="3" spans="1:9">
      <c r="B3" s="3" t="s">
        <v>2</v>
      </c>
    </row>
    <row r="4" spans="1:9">
      <c r="B4" s="2" t="s">
        <v>3</v>
      </c>
    </row>
    <row r="5" spans="1:9">
      <c r="B5" s="2" t="s">
        <v>4</v>
      </c>
    </row>
    <row r="7" spans="1:9">
      <c r="B7" s="2" t="s">
        <v>5</v>
      </c>
      <c r="F7" s="2" t="s">
        <v>6</v>
      </c>
    </row>
    <row r="8" spans="1:9">
      <c r="B8" s="2" t="s">
        <v>7</v>
      </c>
    </row>
    <row r="9" spans="1:9">
      <c r="B9" s="2" t="s">
        <v>71</v>
      </c>
      <c r="E9" s="2" t="s">
        <v>72</v>
      </c>
      <c r="F9" s="2" t="s">
        <v>10</v>
      </c>
      <c r="G9" s="2">
        <f>24*5.26</f>
        <v>126.24</v>
      </c>
      <c r="H9" s="2" t="s">
        <v>11</v>
      </c>
    </row>
    <row r="11" spans="1:9">
      <c r="B11" s="3" t="s">
        <v>56</v>
      </c>
    </row>
    <row r="12" spans="1:9" ht="39.75" customHeight="1">
      <c r="B12" s="58" t="s">
        <v>75</v>
      </c>
      <c r="C12" s="59"/>
      <c r="D12" s="59"/>
      <c r="E12" s="59"/>
      <c r="F12" s="59"/>
      <c r="G12" s="59"/>
      <c r="H12" s="59"/>
      <c r="I12" s="21"/>
    </row>
    <row r="13" spans="1:9">
      <c r="A13" s="22" t="s">
        <v>77</v>
      </c>
    </row>
    <row r="14" spans="1:9">
      <c r="B14" s="3" t="s">
        <v>57</v>
      </c>
    </row>
    <row r="15" spans="1:9">
      <c r="B15" s="2" t="s">
        <v>58</v>
      </c>
      <c r="G15" s="5">
        <v>778</v>
      </c>
      <c r="H15" s="2" t="s">
        <v>20</v>
      </c>
    </row>
    <row r="16" spans="1:9">
      <c r="G16" s="5"/>
    </row>
    <row r="17" spans="2:8">
      <c r="B17" s="3" t="s">
        <v>78</v>
      </c>
    </row>
    <row r="18" spans="2:8">
      <c r="B18" s="2" t="s">
        <v>59</v>
      </c>
    </row>
    <row r="19" spans="2:8">
      <c r="B19" s="2" t="s">
        <v>62</v>
      </c>
      <c r="G19" s="5">
        <v>278.89999999999998</v>
      </c>
      <c r="H19" s="2" t="s">
        <v>20</v>
      </c>
    </row>
    <row r="20" spans="2:8">
      <c r="B20" s="2" t="s">
        <v>60</v>
      </c>
    </row>
    <row r="21" spans="2:8">
      <c r="B21" s="2" t="s">
        <v>63</v>
      </c>
      <c r="G21" s="2">
        <f>G15-G19</f>
        <v>499.1</v>
      </c>
      <c r="H21" s="2" t="s">
        <v>20</v>
      </c>
    </row>
    <row r="22" spans="2:8">
      <c r="B22" s="2" t="s">
        <v>64</v>
      </c>
      <c r="G22" s="15">
        <f>G19/G15</f>
        <v>0.35848329048843186</v>
      </c>
    </row>
    <row r="23" spans="2:8">
      <c r="B23" s="2" t="s">
        <v>73</v>
      </c>
      <c r="G23" s="15"/>
    </row>
    <row r="24" spans="2:8">
      <c r="B24" s="2" t="s">
        <v>74</v>
      </c>
      <c r="G24" s="5">
        <v>0.5</v>
      </c>
    </row>
    <row r="25" spans="2:8">
      <c r="B25" s="20" t="s">
        <v>79</v>
      </c>
      <c r="F25" s="20" t="s">
        <v>80</v>
      </c>
      <c r="G25" s="19">
        <f>5.26*G19*G24/360*0.0001</f>
        <v>2.0375194444444445E-4</v>
      </c>
      <c r="H25" s="2" t="s">
        <v>31</v>
      </c>
    </row>
    <row r="26" spans="2:8">
      <c r="G26" s="5"/>
    </row>
    <row r="27" spans="2:8">
      <c r="B27" s="3" t="s">
        <v>61</v>
      </c>
    </row>
    <row r="28" spans="2:8">
      <c r="B28" s="2" t="s">
        <v>59</v>
      </c>
    </row>
    <row r="29" spans="2:8">
      <c r="B29" s="2" t="s">
        <v>62</v>
      </c>
      <c r="G29" s="5">
        <v>414.8</v>
      </c>
      <c r="H29" s="2" t="s">
        <v>20</v>
      </c>
    </row>
    <row r="30" spans="2:8">
      <c r="B30" s="2" t="s">
        <v>60</v>
      </c>
    </row>
    <row r="31" spans="2:8">
      <c r="B31" s="2" t="s">
        <v>63</v>
      </c>
      <c r="G31" s="2">
        <f>G15-G29</f>
        <v>363.2</v>
      </c>
      <c r="H31" s="2" t="s">
        <v>20</v>
      </c>
    </row>
    <row r="32" spans="2:8">
      <c r="B32" s="2" t="s">
        <v>64</v>
      </c>
      <c r="G32" s="15">
        <f>G29/G15</f>
        <v>0.53316195372750641</v>
      </c>
    </row>
    <row r="33" spans="1:9">
      <c r="B33" s="2" t="s">
        <v>73</v>
      </c>
      <c r="G33" s="15"/>
    </row>
    <row r="34" spans="1:9">
      <c r="B34" s="2" t="s">
        <v>74</v>
      </c>
      <c r="G34" s="5">
        <v>0.5</v>
      </c>
    </row>
    <row r="35" spans="1:9">
      <c r="B35" s="20" t="s">
        <v>79</v>
      </c>
      <c r="F35" s="20" t="s">
        <v>81</v>
      </c>
      <c r="G35" s="19">
        <f>G34*G15*5.26*0.00278/10000</f>
        <v>5.6882691999999993E-4</v>
      </c>
      <c r="H35" s="2" t="s">
        <v>31</v>
      </c>
    </row>
    <row r="36" spans="1:9">
      <c r="B36" s="20"/>
      <c r="G36" s="19"/>
    </row>
    <row r="37" spans="1:9">
      <c r="B37" s="20" t="s">
        <v>82</v>
      </c>
      <c r="G37" s="19"/>
    </row>
    <row r="38" spans="1:9">
      <c r="B38" s="20" t="s">
        <v>83</v>
      </c>
      <c r="G38" s="19"/>
    </row>
    <row r="39" spans="1:9">
      <c r="B39" s="20"/>
      <c r="G39" s="19"/>
    </row>
    <row r="40" spans="1:9">
      <c r="B40" s="3" t="s">
        <v>65</v>
      </c>
    </row>
    <row r="41" spans="1:9">
      <c r="B41" s="2" t="s">
        <v>66</v>
      </c>
      <c r="G41" s="19">
        <f>G29</f>
        <v>414.8</v>
      </c>
      <c r="H41" s="2" t="s">
        <v>20</v>
      </c>
    </row>
    <row r="42" spans="1:9">
      <c r="B42" s="2" t="s">
        <v>67</v>
      </c>
      <c r="F42" s="2" t="s">
        <v>68</v>
      </c>
      <c r="G42" s="2">
        <f>G19</f>
        <v>278.89999999999998</v>
      </c>
      <c r="H42" s="2" t="s">
        <v>20</v>
      </c>
    </row>
    <row r="43" spans="1:9">
      <c r="B43" s="2" t="s">
        <v>69</v>
      </c>
      <c r="F43" s="16"/>
      <c r="G43" s="16">
        <f>G41-G42</f>
        <v>135.90000000000003</v>
      </c>
      <c r="H43" s="16" t="s">
        <v>20</v>
      </c>
    </row>
    <row r="44" spans="1:9">
      <c r="B44" s="5"/>
      <c r="C44" s="5"/>
      <c r="D44" s="5"/>
      <c r="E44" s="5"/>
      <c r="F44" s="5"/>
      <c r="G44" s="5"/>
      <c r="H44" s="5"/>
      <c r="I44" s="5"/>
    </row>
    <row r="45" spans="1:9" ht="15.75">
      <c r="A45" s="1" t="s">
        <v>0</v>
      </c>
    </row>
    <row r="46" spans="1:9" ht="15.75">
      <c r="B46" s="1" t="s">
        <v>1</v>
      </c>
    </row>
    <row r="48" spans="1:9">
      <c r="B48" s="3" t="s">
        <v>2</v>
      </c>
    </row>
    <row r="49" spans="2:8">
      <c r="B49" s="2" t="s">
        <v>3</v>
      </c>
    </row>
    <row r="50" spans="2:8">
      <c r="B50" s="2" t="s">
        <v>4</v>
      </c>
    </row>
    <row r="52" spans="2:8">
      <c r="B52" s="2" t="s">
        <v>5</v>
      </c>
      <c r="F52" s="2" t="s">
        <v>6</v>
      </c>
    </row>
    <row r="53" spans="2:8">
      <c r="B53" s="2" t="s">
        <v>7</v>
      </c>
    </row>
    <row r="54" spans="2:8">
      <c r="B54" s="2" t="s">
        <v>8</v>
      </c>
      <c r="E54" s="2" t="s">
        <v>9</v>
      </c>
      <c r="F54" s="2" t="s">
        <v>10</v>
      </c>
      <c r="G54" s="2">
        <f>24*3.06</f>
        <v>73.44</v>
      </c>
      <c r="H54" s="2" t="s">
        <v>11</v>
      </c>
    </row>
    <row r="55" spans="2:8">
      <c r="B55" s="2" t="s">
        <v>12</v>
      </c>
      <c r="C55" s="2">
        <f>0.5*G54</f>
        <v>36.72</v>
      </c>
      <c r="D55" s="2" t="s">
        <v>11</v>
      </c>
      <c r="E55" s="2" t="s">
        <v>13</v>
      </c>
    </row>
    <row r="56" spans="2:8">
      <c r="B56" s="2" t="s">
        <v>14</v>
      </c>
      <c r="C56" s="2">
        <f>C55</f>
        <v>36.72</v>
      </c>
      <c r="D56" s="2" t="s">
        <v>11</v>
      </c>
      <c r="E56" s="2" t="s">
        <v>15</v>
      </c>
      <c r="F56" s="2">
        <f>G54</f>
        <v>73.44</v>
      </c>
      <c r="G56" s="2" t="s">
        <v>11</v>
      </c>
    </row>
    <row r="57" spans="2:8">
      <c r="B57" s="2" t="s">
        <v>16</v>
      </c>
      <c r="C57" s="2">
        <f>F56</f>
        <v>73.44</v>
      </c>
      <c r="D57" s="2" t="s">
        <v>11</v>
      </c>
      <c r="E57" s="2" t="s">
        <v>17</v>
      </c>
    </row>
    <row r="58" spans="2:8">
      <c r="B58" s="4" t="s">
        <v>18</v>
      </c>
    </row>
    <row r="59" spans="2:8">
      <c r="B59" s="2" t="s">
        <v>19</v>
      </c>
      <c r="G59" s="5">
        <v>778</v>
      </c>
      <c r="H59" s="2" t="s">
        <v>20</v>
      </c>
    </row>
    <row r="60" spans="2:8">
      <c r="G60" s="2">
        <f>G59/10000</f>
        <v>7.7799999999999994E-2</v>
      </c>
      <c r="H60" s="2" t="s">
        <v>21</v>
      </c>
    </row>
    <row r="61" spans="2:8">
      <c r="B61" s="2" t="s">
        <v>22</v>
      </c>
      <c r="G61" s="6">
        <v>0.5</v>
      </c>
      <c r="H61" s="2" t="s">
        <v>23</v>
      </c>
    </row>
    <row r="62" spans="2:8">
      <c r="B62" s="2" t="s">
        <v>24</v>
      </c>
      <c r="G62" s="6">
        <v>1</v>
      </c>
      <c r="H62" s="2" t="s">
        <v>25</v>
      </c>
    </row>
    <row r="63" spans="2:8">
      <c r="B63" s="2" t="s">
        <v>26</v>
      </c>
      <c r="G63" s="2">
        <f>G61*G62</f>
        <v>0.5</v>
      </c>
    </row>
    <row r="64" spans="2:8">
      <c r="B64" s="2" t="s">
        <v>27</v>
      </c>
      <c r="G64" s="5">
        <v>10</v>
      </c>
      <c r="H64" s="2" t="s">
        <v>28</v>
      </c>
    </row>
    <row r="65" spans="1:9">
      <c r="B65" s="2" t="s">
        <v>29</v>
      </c>
      <c r="G65" s="5">
        <v>2</v>
      </c>
      <c r="H65" s="2" t="s">
        <v>30</v>
      </c>
    </row>
    <row r="66" spans="1:9">
      <c r="B66" s="20" t="s">
        <v>84</v>
      </c>
      <c r="G66" s="19">
        <f>G25</f>
        <v>2.0375194444444445E-4</v>
      </c>
      <c r="H66" s="2" t="s">
        <v>31</v>
      </c>
    </row>
    <row r="68" spans="1:9">
      <c r="B68" s="2" t="s">
        <v>32</v>
      </c>
    </row>
    <row r="69" spans="1:9">
      <c r="B69" s="60" t="s">
        <v>33</v>
      </c>
      <c r="C69" s="60"/>
      <c r="D69" s="60"/>
      <c r="E69" s="60"/>
      <c r="F69" s="60"/>
      <c r="G69" s="60"/>
      <c r="H69" s="60"/>
      <c r="I69" s="60"/>
    </row>
    <row r="70" spans="1:9">
      <c r="B70" s="2" t="s">
        <v>34</v>
      </c>
      <c r="C70" s="20" t="s">
        <v>85</v>
      </c>
      <c r="F70" s="19">
        <f>G66</f>
        <v>2.0375194444444445E-4</v>
      </c>
      <c r="G70" s="20" t="s">
        <v>86</v>
      </c>
    </row>
    <row r="71" spans="1:9">
      <c r="B71" s="2" t="s">
        <v>35</v>
      </c>
      <c r="C71" s="20" t="s">
        <v>87</v>
      </c>
      <c r="H71" s="2">
        <f>G64</f>
        <v>10</v>
      </c>
      <c r="I71" s="20" t="s">
        <v>88</v>
      </c>
    </row>
    <row r="72" spans="1:9">
      <c r="B72" s="2" t="s">
        <v>36</v>
      </c>
      <c r="C72" s="20" t="s">
        <v>89</v>
      </c>
      <c r="G72" s="24">
        <f>G63*G60*39/360</f>
        <v>4.2141666666666664E-3</v>
      </c>
      <c r="H72" s="20" t="s">
        <v>86</v>
      </c>
    </row>
    <row r="73" spans="1:9">
      <c r="B73" s="2" t="s">
        <v>37</v>
      </c>
      <c r="C73" s="2" t="s">
        <v>38</v>
      </c>
    </row>
    <row r="74" spans="1:9">
      <c r="B74" s="2" t="s">
        <v>39</v>
      </c>
      <c r="C74" s="2" t="s">
        <v>40</v>
      </c>
    </row>
    <row r="75" spans="1:9">
      <c r="B75" s="2" t="s">
        <v>41</v>
      </c>
      <c r="C75" s="2" t="s">
        <v>42</v>
      </c>
    </row>
    <row r="76" spans="1:9">
      <c r="C76" s="2" t="s">
        <v>43</v>
      </c>
    </row>
    <row r="77" spans="1:9">
      <c r="B77" s="2" t="s">
        <v>44</v>
      </c>
      <c r="C77" s="2" t="s">
        <v>45</v>
      </c>
    </row>
    <row r="79" spans="1:9" ht="57">
      <c r="A79" s="7" t="s">
        <v>46</v>
      </c>
      <c r="B79" s="7" t="s">
        <v>90</v>
      </c>
      <c r="C79" s="7" t="s">
        <v>47</v>
      </c>
      <c r="D79" s="7" t="s">
        <v>48</v>
      </c>
      <c r="E79" s="7" t="s">
        <v>49</v>
      </c>
      <c r="F79" s="7" t="s">
        <v>50</v>
      </c>
      <c r="G79" s="7" t="s">
        <v>51</v>
      </c>
      <c r="H79" s="7" t="s">
        <v>52</v>
      </c>
      <c r="I79" s="7" t="s">
        <v>53</v>
      </c>
    </row>
    <row r="80" spans="1:9">
      <c r="A80" s="8">
        <v>1</v>
      </c>
      <c r="B80" s="29">
        <f>C80/60</f>
        <v>0.16666666666666666</v>
      </c>
      <c r="C80" s="9">
        <v>10</v>
      </c>
      <c r="D80" s="9">
        <v>39</v>
      </c>
      <c r="E80" s="23">
        <f>$G$60*$G$61*D80/360</f>
        <v>4.2141666666666664E-3</v>
      </c>
      <c r="F80" s="23">
        <f>$G$60*$G$61*D80/360</f>
        <v>4.2141666666666664E-3</v>
      </c>
      <c r="G80" s="11">
        <f>C80*F80*60</f>
        <v>2.5284999999999997</v>
      </c>
      <c r="H80" s="10">
        <f>G66</f>
        <v>2.0375194444444445E-4</v>
      </c>
      <c r="I80" s="12">
        <f>C80*60*(F80-H80)+0.5*60*$G$64*(1/F80-1/E80)*H80^2</f>
        <v>2.4062488333333332</v>
      </c>
    </row>
    <row r="81" spans="1:9">
      <c r="A81" s="8">
        <v>2</v>
      </c>
      <c r="B81" s="29">
        <f t="shared" ref="B81:B85" si="0">C81/60</f>
        <v>0.25</v>
      </c>
      <c r="C81" s="9">
        <v>15</v>
      </c>
      <c r="D81" s="9">
        <v>27.98</v>
      </c>
      <c r="E81" s="23">
        <f>E80</f>
        <v>4.2141666666666664E-3</v>
      </c>
      <c r="F81" s="23">
        <f t="shared" ref="F81:F85" si="1">$G$60*$G$61*D81/360</f>
        <v>3.0233944444444443E-3</v>
      </c>
      <c r="G81" s="11">
        <f t="shared" ref="G81:G85" si="2">C81*F81*60</f>
        <v>2.7210549999999998</v>
      </c>
      <c r="H81" s="10">
        <f>H80</f>
        <v>2.0375194444444445E-4</v>
      </c>
      <c r="I81" s="12">
        <f t="shared" ref="I81:I85" si="3">C81*60*(F81-H81)+0.5*60*$G$64*(1/F81-1/E81)*H81^2</f>
        <v>2.5388422338522756</v>
      </c>
    </row>
    <row r="82" spans="1:9">
      <c r="A82" s="8">
        <v>3</v>
      </c>
      <c r="B82" s="29">
        <f t="shared" si="0"/>
        <v>0.5</v>
      </c>
      <c r="C82" s="9">
        <v>30</v>
      </c>
      <c r="D82" s="9">
        <v>19.989999999999998</v>
      </c>
      <c r="E82" s="23">
        <f t="shared" ref="E82:E85" si="4">E81</f>
        <v>4.2141666666666664E-3</v>
      </c>
      <c r="F82" s="23">
        <f t="shared" si="1"/>
        <v>2.160030555555555E-3</v>
      </c>
      <c r="G82" s="11">
        <f t="shared" si="2"/>
        <v>3.8880549999999992</v>
      </c>
      <c r="H82" s="10">
        <f t="shared" ref="H82:H85" si="5">H81</f>
        <v>2.0375194444444445E-4</v>
      </c>
      <c r="I82" s="12">
        <f t="shared" si="3"/>
        <v>3.5241119922616861</v>
      </c>
    </row>
    <row r="83" spans="1:9">
      <c r="A83" s="8">
        <v>4</v>
      </c>
      <c r="B83" s="29">
        <f t="shared" si="0"/>
        <v>1</v>
      </c>
      <c r="C83" s="9">
        <v>60</v>
      </c>
      <c r="D83" s="13">
        <v>14.29</v>
      </c>
      <c r="E83" s="23">
        <f t="shared" si="4"/>
        <v>4.2141666666666664E-3</v>
      </c>
      <c r="F83" s="23">
        <f t="shared" si="1"/>
        <v>1.5441138888888889E-3</v>
      </c>
      <c r="G83" s="11">
        <f t="shared" si="2"/>
        <v>5.5588100000000003</v>
      </c>
      <c r="H83" s="10">
        <f t="shared" si="5"/>
        <v>2.0375194444444445E-4</v>
      </c>
      <c r="I83" s="12">
        <f t="shared" si="3"/>
        <v>4.8304133846234958</v>
      </c>
    </row>
    <row r="84" spans="1:9">
      <c r="A84" s="8">
        <v>5</v>
      </c>
      <c r="B84" s="29">
        <f t="shared" si="0"/>
        <v>2</v>
      </c>
      <c r="C84" s="9">
        <v>120</v>
      </c>
      <c r="D84" s="13">
        <v>10.210000000000001</v>
      </c>
      <c r="E84" s="23">
        <f t="shared" si="4"/>
        <v>4.2141666666666664E-3</v>
      </c>
      <c r="F84" s="23">
        <f t="shared" si="1"/>
        <v>1.1032472222222223E-3</v>
      </c>
      <c r="G84" s="11">
        <f t="shared" si="2"/>
        <v>7.9433800000000012</v>
      </c>
      <c r="H84" s="10">
        <f t="shared" si="5"/>
        <v>2.0375194444444445E-4</v>
      </c>
      <c r="I84" s="12">
        <f t="shared" si="3"/>
        <v>6.4846995298219632</v>
      </c>
    </row>
    <row r="85" spans="1:9">
      <c r="A85" s="8">
        <v>6</v>
      </c>
      <c r="B85" s="29">
        <f t="shared" si="0"/>
        <v>12</v>
      </c>
      <c r="C85" s="9">
        <f>12*60</f>
        <v>720</v>
      </c>
      <c r="D85" s="13">
        <v>4.28</v>
      </c>
      <c r="E85" s="23">
        <f t="shared" si="4"/>
        <v>4.2141666666666664E-3</v>
      </c>
      <c r="F85" s="23">
        <f t="shared" si="1"/>
        <v>4.6247777777777777E-4</v>
      </c>
      <c r="G85" s="11">
        <f t="shared" si="2"/>
        <v>19.979040000000001</v>
      </c>
      <c r="H85" s="10">
        <f t="shared" si="5"/>
        <v>2.0375194444444445E-4</v>
      </c>
      <c r="I85" s="12">
        <f t="shared" si="3"/>
        <v>11.200930470195255</v>
      </c>
    </row>
    <row r="86" spans="1:9">
      <c r="A86" s="8">
        <v>7</v>
      </c>
      <c r="B86" s="29">
        <v>24</v>
      </c>
      <c r="C86" s="9">
        <f>24*60</f>
        <v>1440</v>
      </c>
      <c r="D86" s="13">
        <v>3.06</v>
      </c>
      <c r="E86" s="23">
        <f t="shared" ref="E86" si="6">E85</f>
        <v>4.2141666666666664E-3</v>
      </c>
      <c r="F86" s="23">
        <f t="shared" ref="F86" si="7">$G$60*$G$61*D86/360</f>
        <v>3.3064999999999999E-4</v>
      </c>
      <c r="G86" s="11">
        <f t="shared" ref="G86" si="8">C86*F86*60</f>
        <v>28.568159999999999</v>
      </c>
      <c r="H86" s="10">
        <f t="shared" ref="H86" si="9">H85</f>
        <v>2.0375194444444445E-4</v>
      </c>
      <c r="I86" s="12">
        <f t="shared" ref="I86" si="10">C86*60*(F86-H86)+0.5*60*$G$64*(1/F86-1/E86)*H86^2</f>
        <v>10.998703207152442</v>
      </c>
    </row>
    <row r="87" spans="1:9">
      <c r="B87" s="20" t="s">
        <v>91</v>
      </c>
      <c r="F87" s="14">
        <f>MAX(I80:I86)</f>
        <v>11.200930470195255</v>
      </c>
      <c r="G87" s="2" t="s">
        <v>55</v>
      </c>
    </row>
    <row r="89" spans="1:9" ht="16.5">
      <c r="B89" s="25" t="s">
        <v>92</v>
      </c>
      <c r="C89"/>
      <c r="D89"/>
      <c r="E89"/>
      <c r="F89"/>
      <c r="G89"/>
      <c r="H89"/>
    </row>
    <row r="91" spans="1:9">
      <c r="B91" s="2" t="s">
        <v>93</v>
      </c>
    </row>
    <row r="92" spans="1:9">
      <c r="B92" s="2" t="s">
        <v>94</v>
      </c>
      <c r="G92" s="2">
        <v>150</v>
      </c>
      <c r="H92" s="2" t="s">
        <v>11</v>
      </c>
    </row>
    <row r="93" spans="1:9">
      <c r="B93" s="2" t="s">
        <v>95</v>
      </c>
      <c r="G93" s="2">
        <f>3.14*(G92*0.001)^2/4</f>
        <v>1.7662500000000001E-2</v>
      </c>
      <c r="H93" s="2" t="s">
        <v>20</v>
      </c>
    </row>
    <row r="94" spans="1:9">
      <c r="B94" s="2" t="s">
        <v>96</v>
      </c>
      <c r="G94" s="2">
        <v>84</v>
      </c>
      <c r="H94" s="2" t="s">
        <v>97</v>
      </c>
    </row>
    <row r="95" spans="1:9">
      <c r="B95" s="2" t="s">
        <v>98</v>
      </c>
      <c r="G95" s="2">
        <f>G93*G94</f>
        <v>1.4836500000000001</v>
      </c>
      <c r="H95" s="2" t="s">
        <v>55</v>
      </c>
    </row>
    <row r="97" spans="2:8">
      <c r="B97" s="20" t="s">
        <v>99</v>
      </c>
    </row>
    <row r="98" spans="2:8">
      <c r="B98" s="20" t="s">
        <v>100</v>
      </c>
      <c r="G98" s="2">
        <v>0.6</v>
      </c>
      <c r="H98" s="2" t="s">
        <v>97</v>
      </c>
    </row>
    <row r="99" spans="2:8">
      <c r="B99" s="2" t="s">
        <v>101</v>
      </c>
      <c r="G99" s="2">
        <v>0.6</v>
      </c>
      <c r="H99" s="2" t="s">
        <v>97</v>
      </c>
    </row>
    <row r="100" spans="2:8">
      <c r="B100" s="2" t="s">
        <v>102</v>
      </c>
      <c r="G100" s="2">
        <f>3.14*G98*G98/4*G99</f>
        <v>0.16955999999999996</v>
      </c>
      <c r="H100" s="2" t="s">
        <v>55</v>
      </c>
    </row>
    <row r="101" spans="2:8">
      <c r="B101" s="20" t="s">
        <v>103</v>
      </c>
      <c r="G101" s="2">
        <v>2</v>
      </c>
    </row>
    <row r="102" spans="2:8">
      <c r="B102" s="20" t="s">
        <v>104</v>
      </c>
      <c r="G102" s="2">
        <f>G101*G100</f>
        <v>0.33911999999999992</v>
      </c>
      <c r="H102" s="20" t="s">
        <v>105</v>
      </c>
    </row>
    <row r="104" spans="2:8">
      <c r="B104" s="2" t="s">
        <v>106</v>
      </c>
    </row>
    <row r="105" spans="2:8">
      <c r="B105" s="20" t="s">
        <v>100</v>
      </c>
      <c r="G105" s="2">
        <v>1</v>
      </c>
      <c r="H105" s="2" t="s">
        <v>97</v>
      </c>
    </row>
    <row r="106" spans="2:8">
      <c r="B106" s="2" t="s">
        <v>101</v>
      </c>
      <c r="G106" s="2">
        <v>1</v>
      </c>
      <c r="H106" s="2" t="s">
        <v>97</v>
      </c>
    </row>
    <row r="107" spans="2:8">
      <c r="B107" s="2" t="s">
        <v>102</v>
      </c>
      <c r="G107" s="2">
        <f>3.14*G105*G105/4*G106</f>
        <v>0.78500000000000003</v>
      </c>
      <c r="H107" s="2" t="s">
        <v>55</v>
      </c>
    </row>
    <row r="109" spans="2:8">
      <c r="B109" s="22" t="s">
        <v>107</v>
      </c>
      <c r="C109" s="22"/>
      <c r="D109" s="22"/>
      <c r="E109" s="22"/>
      <c r="F109" s="22"/>
      <c r="G109" s="28">
        <f>G107+G95+G102</f>
        <v>2.6077699999999999</v>
      </c>
      <c r="H109" s="22" t="s">
        <v>55</v>
      </c>
    </row>
    <row r="111" spans="2:8">
      <c r="B111" s="20" t="s">
        <v>108</v>
      </c>
    </row>
    <row r="112" spans="2:8">
      <c r="B112" s="20" t="s">
        <v>109</v>
      </c>
    </row>
  </sheetData>
  <mergeCells count="2">
    <mergeCell ref="B12:H12"/>
    <mergeCell ref="B69:I69"/>
  </mergeCells>
  <phoneticPr fontId="3" type="noConversion"/>
  <pageMargins left="0.7" right="0.7" top="0.75" bottom="0.7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5"/>
  <sheetViews>
    <sheetView view="pageBreakPreview" topLeftCell="A85" zoomScale="140" zoomScaleNormal="100" zoomScaleSheetLayoutView="140" workbookViewId="0">
      <selection activeCell="B91" sqref="B91:H100"/>
    </sheetView>
  </sheetViews>
  <sheetFormatPr defaultRowHeight="14.25"/>
  <cols>
    <col min="1" max="3" width="9" style="2"/>
    <col min="4" max="4" width="16.25" style="2" customWidth="1"/>
    <col min="5" max="5" width="9" style="2"/>
    <col min="6" max="6" width="11.625" style="2" customWidth="1"/>
    <col min="7" max="7" width="9.5" style="2" bestFit="1" customWidth="1"/>
    <col min="8" max="16384" width="9" style="2"/>
  </cols>
  <sheetData>
    <row r="1" spans="1:9" ht="15.75">
      <c r="B1" s="1" t="s">
        <v>70</v>
      </c>
    </row>
    <row r="3" spans="1:9">
      <c r="B3" s="3" t="s">
        <v>2</v>
      </c>
    </row>
    <row r="4" spans="1:9">
      <c r="B4" s="2" t="s">
        <v>3</v>
      </c>
    </row>
    <row r="5" spans="1:9">
      <c r="B5" s="2" t="s">
        <v>4</v>
      </c>
    </row>
    <row r="7" spans="1:9">
      <c r="B7" s="2" t="s">
        <v>5</v>
      </c>
      <c r="F7" s="2" t="s">
        <v>6</v>
      </c>
    </row>
    <row r="8" spans="1:9">
      <c r="B8" s="2" t="s">
        <v>7</v>
      </c>
    </row>
    <row r="9" spans="1:9">
      <c r="B9" s="2" t="s">
        <v>71</v>
      </c>
      <c r="E9" s="2" t="s">
        <v>72</v>
      </c>
      <c r="F9" s="2" t="s">
        <v>10</v>
      </c>
      <c r="G9" s="2">
        <f>24*5.26</f>
        <v>126.24</v>
      </c>
      <c r="H9" s="2" t="s">
        <v>11</v>
      </c>
    </row>
    <row r="11" spans="1:9">
      <c r="B11" s="3" t="s">
        <v>56</v>
      </c>
    </row>
    <row r="12" spans="1:9" ht="39.75" customHeight="1">
      <c r="B12" s="58" t="s">
        <v>75</v>
      </c>
      <c r="C12" s="59"/>
      <c r="D12" s="59"/>
      <c r="E12" s="59"/>
      <c r="F12" s="59"/>
      <c r="G12" s="59"/>
      <c r="H12" s="59"/>
      <c r="I12" s="21"/>
    </row>
    <row r="13" spans="1:9">
      <c r="A13" s="22" t="s">
        <v>77</v>
      </c>
    </row>
    <row r="14" spans="1:9">
      <c r="B14" s="3" t="s">
        <v>57</v>
      </c>
    </row>
    <row r="15" spans="1:9">
      <c r="B15" s="2" t="s">
        <v>58</v>
      </c>
      <c r="G15" s="5">
        <v>778</v>
      </c>
      <c r="H15" s="2" t="s">
        <v>20</v>
      </c>
    </row>
    <row r="16" spans="1:9">
      <c r="G16" s="5"/>
    </row>
    <row r="17" spans="2:8">
      <c r="B17" s="3" t="s">
        <v>78</v>
      </c>
    </row>
    <row r="18" spans="2:8">
      <c r="B18" s="2" t="s">
        <v>59</v>
      </c>
    </row>
    <row r="19" spans="2:8">
      <c r="B19" s="2" t="s">
        <v>62</v>
      </c>
      <c r="G19" s="5">
        <v>278.89999999999998</v>
      </c>
      <c r="H19" s="2" t="s">
        <v>20</v>
      </c>
    </row>
    <row r="20" spans="2:8">
      <c r="B20" s="2" t="s">
        <v>60</v>
      </c>
    </row>
    <row r="21" spans="2:8">
      <c r="B21" s="2" t="s">
        <v>63</v>
      </c>
      <c r="G21" s="2">
        <f>G15-G19</f>
        <v>499.1</v>
      </c>
      <c r="H21" s="2" t="s">
        <v>20</v>
      </c>
    </row>
    <row r="22" spans="2:8">
      <c r="B22" s="2" t="s">
        <v>64</v>
      </c>
      <c r="G22" s="15">
        <f>G19/G15</f>
        <v>0.35848329048843186</v>
      </c>
    </row>
    <row r="23" spans="2:8">
      <c r="B23" s="2" t="s">
        <v>73</v>
      </c>
      <c r="G23" s="15"/>
    </row>
    <row r="24" spans="2:8">
      <c r="B24" s="2" t="s">
        <v>74</v>
      </c>
      <c r="G24" s="5">
        <v>0.5</v>
      </c>
    </row>
    <row r="25" spans="2:8">
      <c r="B25" s="20" t="s">
        <v>79</v>
      </c>
      <c r="F25" s="20" t="s">
        <v>80</v>
      </c>
      <c r="G25" s="19">
        <f>5.26*G19*G24/360*0.0001</f>
        <v>2.0375194444444445E-4</v>
      </c>
      <c r="H25" s="2" t="s">
        <v>31</v>
      </c>
    </row>
    <row r="26" spans="2:8">
      <c r="G26" s="5"/>
    </row>
    <row r="27" spans="2:8">
      <c r="B27" s="3" t="s">
        <v>61</v>
      </c>
    </row>
    <row r="28" spans="2:8">
      <c r="B28" s="2" t="s">
        <v>59</v>
      </c>
    </row>
    <row r="29" spans="2:8">
      <c r="B29" s="2" t="s">
        <v>62</v>
      </c>
      <c r="G29" s="5">
        <v>414.8</v>
      </c>
      <c r="H29" s="2" t="s">
        <v>20</v>
      </c>
    </row>
    <row r="30" spans="2:8">
      <c r="B30" s="2" t="s">
        <v>60</v>
      </c>
    </row>
    <row r="31" spans="2:8">
      <c r="B31" s="2" t="s">
        <v>63</v>
      </c>
      <c r="G31" s="2">
        <f>G15-G29</f>
        <v>363.2</v>
      </c>
      <c r="H31" s="2" t="s">
        <v>20</v>
      </c>
    </row>
    <row r="32" spans="2:8">
      <c r="B32" s="2" t="s">
        <v>64</v>
      </c>
      <c r="G32" s="15">
        <f>G29/G15</f>
        <v>0.53316195372750641</v>
      </c>
    </row>
    <row r="33" spans="1:9">
      <c r="B33" s="2" t="s">
        <v>73</v>
      </c>
      <c r="G33" s="15"/>
    </row>
    <row r="34" spans="1:9">
      <c r="B34" s="2" t="s">
        <v>74</v>
      </c>
      <c r="G34" s="5">
        <v>0.5</v>
      </c>
    </row>
    <row r="35" spans="1:9">
      <c r="B35" s="20" t="s">
        <v>79</v>
      </c>
      <c r="F35" s="20" t="s">
        <v>81</v>
      </c>
      <c r="G35" s="19">
        <f>G34*G15*5.26*0.00278/10000</f>
        <v>5.6882691999999993E-4</v>
      </c>
      <c r="H35" s="2" t="s">
        <v>31</v>
      </c>
    </row>
    <row r="36" spans="1:9">
      <c r="B36" s="20"/>
      <c r="G36" s="19"/>
    </row>
    <row r="37" spans="1:9">
      <c r="B37" s="20" t="s">
        <v>82</v>
      </c>
      <c r="G37" s="19"/>
    </row>
    <row r="38" spans="1:9">
      <c r="B38" s="20" t="s">
        <v>83</v>
      </c>
      <c r="G38" s="19"/>
    </row>
    <row r="39" spans="1:9">
      <c r="B39" s="20"/>
      <c r="G39" s="19"/>
    </row>
    <row r="40" spans="1:9">
      <c r="B40" s="3" t="s">
        <v>65</v>
      </c>
    </row>
    <row r="41" spans="1:9">
      <c r="B41" s="2" t="s">
        <v>66</v>
      </c>
      <c r="G41" s="19">
        <f>G29</f>
        <v>414.8</v>
      </c>
      <c r="H41" s="2" t="s">
        <v>20</v>
      </c>
    </row>
    <row r="42" spans="1:9">
      <c r="B42" s="2" t="s">
        <v>67</v>
      </c>
      <c r="F42" s="2" t="s">
        <v>68</v>
      </c>
      <c r="G42" s="2">
        <f>G19</f>
        <v>278.89999999999998</v>
      </c>
      <c r="H42" s="2" t="s">
        <v>20</v>
      </c>
    </row>
    <row r="43" spans="1:9">
      <c r="B43" s="2" t="s">
        <v>69</v>
      </c>
      <c r="F43" s="16"/>
      <c r="G43" s="16">
        <f>G41-G42</f>
        <v>135.90000000000003</v>
      </c>
      <c r="H43" s="16" t="s">
        <v>20</v>
      </c>
    </row>
    <row r="44" spans="1:9">
      <c r="B44" s="5"/>
      <c r="C44" s="5"/>
      <c r="D44" s="5"/>
      <c r="E44" s="5"/>
      <c r="F44" s="5"/>
      <c r="G44" s="5"/>
      <c r="H44" s="5"/>
      <c r="I44" s="5"/>
    </row>
    <row r="45" spans="1:9" ht="15.75">
      <c r="A45" s="1" t="s">
        <v>0</v>
      </c>
    </row>
    <row r="46" spans="1:9" ht="15.75">
      <c r="B46" s="1" t="s">
        <v>1</v>
      </c>
    </row>
    <row r="48" spans="1:9">
      <c r="B48" s="3" t="s">
        <v>2</v>
      </c>
    </row>
    <row r="49" spans="2:8">
      <c r="B49" s="2" t="s">
        <v>3</v>
      </c>
    </row>
    <row r="50" spans="2:8">
      <c r="B50" s="2" t="s">
        <v>4</v>
      </c>
    </row>
    <row r="52" spans="2:8">
      <c r="B52" s="2" t="s">
        <v>5</v>
      </c>
      <c r="F52" s="2" t="s">
        <v>6</v>
      </c>
    </row>
    <row r="53" spans="2:8">
      <c r="B53" s="2" t="s">
        <v>7</v>
      </c>
    </row>
    <row r="54" spans="2:8">
      <c r="B54" s="2" t="s">
        <v>8</v>
      </c>
      <c r="E54" s="2" t="s">
        <v>9</v>
      </c>
      <c r="F54" s="2" t="s">
        <v>10</v>
      </c>
      <c r="G54" s="2">
        <f>24*3.06</f>
        <v>73.44</v>
      </c>
      <c r="H54" s="2" t="s">
        <v>11</v>
      </c>
    </row>
    <row r="55" spans="2:8">
      <c r="B55" s="2" t="s">
        <v>12</v>
      </c>
      <c r="C55" s="2">
        <f>0.5*G54</f>
        <v>36.72</v>
      </c>
      <c r="D55" s="2" t="s">
        <v>11</v>
      </c>
      <c r="E55" s="2" t="s">
        <v>13</v>
      </c>
    </row>
    <row r="56" spans="2:8">
      <c r="B56" s="2" t="s">
        <v>14</v>
      </c>
      <c r="C56" s="2">
        <f>C55</f>
        <v>36.72</v>
      </c>
      <c r="D56" s="2" t="s">
        <v>11</v>
      </c>
      <c r="E56" s="2" t="s">
        <v>15</v>
      </c>
      <c r="F56" s="2">
        <f>G54</f>
        <v>73.44</v>
      </c>
      <c r="G56" s="2" t="s">
        <v>11</v>
      </c>
    </row>
    <row r="57" spans="2:8">
      <c r="B57" s="2" t="s">
        <v>16</v>
      </c>
      <c r="C57" s="2">
        <f>F56</f>
        <v>73.44</v>
      </c>
      <c r="D57" s="2" t="s">
        <v>11</v>
      </c>
      <c r="E57" s="2" t="s">
        <v>17</v>
      </c>
    </row>
    <row r="58" spans="2:8">
      <c r="B58" s="4" t="s">
        <v>18</v>
      </c>
    </row>
    <row r="59" spans="2:8">
      <c r="B59" s="2" t="s">
        <v>19</v>
      </c>
      <c r="G59" s="5">
        <v>20000</v>
      </c>
      <c r="H59" s="2" t="s">
        <v>20</v>
      </c>
    </row>
    <row r="60" spans="2:8">
      <c r="G60" s="2">
        <f>G59/10000</f>
        <v>2</v>
      </c>
      <c r="H60" s="2" t="s">
        <v>21</v>
      </c>
    </row>
    <row r="61" spans="2:8">
      <c r="B61" s="2" t="s">
        <v>22</v>
      </c>
      <c r="G61" s="6">
        <v>0.65</v>
      </c>
      <c r="H61" s="2" t="s">
        <v>23</v>
      </c>
    </row>
    <row r="62" spans="2:8">
      <c r="B62" s="2" t="s">
        <v>24</v>
      </c>
      <c r="G62" s="6">
        <v>1</v>
      </c>
      <c r="H62" s="2" t="s">
        <v>25</v>
      </c>
    </row>
    <row r="63" spans="2:8">
      <c r="B63" s="2" t="s">
        <v>26</v>
      </c>
      <c r="G63" s="2">
        <f>G61*G62</f>
        <v>0.65</v>
      </c>
    </row>
    <row r="64" spans="2:8">
      <c r="B64" s="2" t="s">
        <v>27</v>
      </c>
      <c r="G64" s="5">
        <v>10</v>
      </c>
      <c r="H64" s="2" t="s">
        <v>28</v>
      </c>
    </row>
    <row r="65" spans="2:9">
      <c r="B65" s="2" t="s">
        <v>29</v>
      </c>
      <c r="G65" s="5">
        <v>5</v>
      </c>
      <c r="H65" s="2" t="s">
        <v>30</v>
      </c>
    </row>
    <row r="66" spans="2:9">
      <c r="B66" s="20" t="s">
        <v>84</v>
      </c>
      <c r="G66" s="19">
        <f>G25</f>
        <v>2.0375194444444445E-4</v>
      </c>
      <c r="H66" s="2" t="s">
        <v>31</v>
      </c>
    </row>
    <row r="68" spans="2:9">
      <c r="B68" s="2" t="s">
        <v>32</v>
      </c>
    </row>
    <row r="69" spans="2:9">
      <c r="B69" s="60" t="s">
        <v>33</v>
      </c>
      <c r="C69" s="60"/>
      <c r="D69" s="60"/>
      <c r="E69" s="60"/>
      <c r="F69" s="60"/>
      <c r="G69" s="60"/>
      <c r="H69" s="60"/>
      <c r="I69" s="60"/>
    </row>
    <row r="70" spans="2:9">
      <c r="B70" s="2" t="s">
        <v>34</v>
      </c>
      <c r="C70" s="20" t="s">
        <v>85</v>
      </c>
      <c r="F70" s="18">
        <f>G66</f>
        <v>2.0375194444444445E-4</v>
      </c>
      <c r="G70" s="20" t="s">
        <v>86</v>
      </c>
    </row>
    <row r="71" spans="2:9">
      <c r="B71" s="2" t="s">
        <v>35</v>
      </c>
      <c r="C71" s="20" t="s">
        <v>87</v>
      </c>
      <c r="H71" s="2">
        <f>G64</f>
        <v>10</v>
      </c>
      <c r="I71" s="20" t="s">
        <v>88</v>
      </c>
    </row>
    <row r="72" spans="2:9">
      <c r="B72" s="2" t="s">
        <v>36</v>
      </c>
      <c r="C72" s="20" t="s">
        <v>89</v>
      </c>
      <c r="G72" s="24">
        <f>G63*G60*39/360</f>
        <v>0.14083333333333334</v>
      </c>
      <c r="H72" s="20" t="s">
        <v>86</v>
      </c>
    </row>
    <row r="73" spans="2:9">
      <c r="B73" s="2" t="s">
        <v>37</v>
      </c>
      <c r="C73" s="2" t="s">
        <v>38</v>
      </c>
    </row>
    <row r="74" spans="2:9">
      <c r="B74" s="2" t="s">
        <v>39</v>
      </c>
      <c r="C74" s="2" t="s">
        <v>40</v>
      </c>
    </row>
    <row r="75" spans="2:9">
      <c r="B75" s="2" t="s">
        <v>41</v>
      </c>
      <c r="C75" s="2" t="s">
        <v>42</v>
      </c>
    </row>
    <row r="76" spans="2:9">
      <c r="C76" s="2" t="s">
        <v>43</v>
      </c>
    </row>
    <row r="77" spans="2:9">
      <c r="B77" s="2" t="s">
        <v>44</v>
      </c>
      <c r="C77" s="2" t="s">
        <v>45</v>
      </c>
    </row>
    <row r="79" spans="2:9" ht="57">
      <c r="B79" s="7" t="s">
        <v>46</v>
      </c>
      <c r="C79" s="7" t="s">
        <v>47</v>
      </c>
      <c r="D79" s="7" t="s">
        <v>48</v>
      </c>
      <c r="E79" s="7" t="s">
        <v>49</v>
      </c>
      <c r="F79" s="7" t="s">
        <v>50</v>
      </c>
      <c r="G79" s="7" t="s">
        <v>51</v>
      </c>
      <c r="H79" s="7" t="s">
        <v>52</v>
      </c>
      <c r="I79" s="7" t="s">
        <v>53</v>
      </c>
    </row>
    <row r="80" spans="2:9">
      <c r="B80" s="8">
        <v>1</v>
      </c>
      <c r="C80" s="9">
        <v>10</v>
      </c>
      <c r="D80" s="9">
        <v>39</v>
      </c>
      <c r="E80" s="23">
        <f>$G$60*$G$61*D80/360</f>
        <v>0.14083333333333334</v>
      </c>
      <c r="F80" s="23">
        <f>$G$60*$G$61*D80/360</f>
        <v>0.14083333333333334</v>
      </c>
      <c r="G80" s="11">
        <f>C80*F80*60</f>
        <v>84.5</v>
      </c>
      <c r="H80" s="10">
        <v>0.05</v>
      </c>
      <c r="I80" s="12">
        <f>C80*60*(F80-H80)+0.5*60*$G$64*(1/F80-1/E80)*H80^2</f>
        <v>54.5</v>
      </c>
    </row>
    <row r="81" spans="2:9">
      <c r="B81" s="8">
        <v>2</v>
      </c>
      <c r="C81" s="9">
        <v>15</v>
      </c>
      <c r="D81" s="9">
        <v>31</v>
      </c>
      <c r="E81" s="23">
        <f>E80</f>
        <v>0.14083333333333334</v>
      </c>
      <c r="F81" s="23">
        <f t="shared" ref="F81:F83" si="0">$G$60*$G$61*D81/360</f>
        <v>0.11194444444444446</v>
      </c>
      <c r="G81" s="11">
        <f t="shared" ref="G81:G83" si="1">C81*F81*60</f>
        <v>100.75000000000001</v>
      </c>
      <c r="H81" s="10">
        <v>0.05</v>
      </c>
      <c r="I81" s="12">
        <f t="shared" ref="I81:I85" si="2">C81*60*(F81-H81)+0.5*60*$G$64*(1/F81-1/E81)*H81^2</f>
        <v>57.12430807405994</v>
      </c>
    </row>
    <row r="82" spans="2:9">
      <c r="B82" s="8">
        <v>3</v>
      </c>
      <c r="C82" s="9">
        <v>20</v>
      </c>
      <c r="D82" s="9">
        <v>28</v>
      </c>
      <c r="E82" s="23">
        <f t="shared" ref="E82:E83" si="3">E81</f>
        <v>0.14083333333333334</v>
      </c>
      <c r="F82" s="23">
        <f t="shared" si="0"/>
        <v>0.10111111111111111</v>
      </c>
      <c r="G82" s="11">
        <f t="shared" si="1"/>
        <v>121.33333333333333</v>
      </c>
      <c r="H82" s="10">
        <v>0.05</v>
      </c>
      <c r="I82" s="12">
        <f t="shared" si="2"/>
        <v>63.425471963933497</v>
      </c>
    </row>
    <row r="83" spans="2:9">
      <c r="B83" s="8">
        <v>4</v>
      </c>
      <c r="C83" s="9">
        <v>30</v>
      </c>
      <c r="D83" s="13">
        <v>23</v>
      </c>
      <c r="E83" s="23">
        <f t="shared" si="3"/>
        <v>0.14083333333333334</v>
      </c>
      <c r="F83" s="23">
        <f t="shared" si="0"/>
        <v>8.3055555555555563E-2</v>
      </c>
      <c r="G83" s="11">
        <f t="shared" si="1"/>
        <v>149.5</v>
      </c>
      <c r="H83" s="10">
        <v>0.05</v>
      </c>
      <c r="I83" s="12">
        <f t="shared" si="2"/>
        <v>63.204656547465916</v>
      </c>
    </row>
    <row r="84" spans="2:9">
      <c r="B84" s="8">
        <v>5</v>
      </c>
      <c r="C84" s="9">
        <v>40</v>
      </c>
      <c r="D84" s="13">
        <v>20</v>
      </c>
      <c r="E84" s="23">
        <f t="shared" ref="E84:E85" si="4">E83</f>
        <v>0.14083333333333334</v>
      </c>
      <c r="F84" s="23">
        <f t="shared" ref="F84:F85" si="5">$G$60*$G$61*D84/360</f>
        <v>7.2222222222222215E-2</v>
      </c>
      <c r="G84" s="11">
        <f t="shared" ref="G84:G85" si="6">C84*F84*60</f>
        <v>173.33333333333331</v>
      </c>
      <c r="H84" s="10">
        <v>0.05</v>
      </c>
      <c r="I84" s="12">
        <f t="shared" si="2"/>
        <v>58.392504930966446</v>
      </c>
    </row>
    <row r="85" spans="2:9">
      <c r="B85" s="8">
        <v>4</v>
      </c>
      <c r="C85" s="9">
        <v>60</v>
      </c>
      <c r="D85" s="13">
        <v>17</v>
      </c>
      <c r="E85" s="23">
        <f t="shared" si="4"/>
        <v>0.14083333333333334</v>
      </c>
      <c r="F85" s="23">
        <f t="shared" si="5"/>
        <v>6.1388888888888896E-2</v>
      </c>
      <c r="G85" s="11">
        <f t="shared" si="6"/>
        <v>221</v>
      </c>
      <c r="H85" s="10">
        <v>0.05</v>
      </c>
      <c r="I85" s="12">
        <f t="shared" si="2"/>
        <v>47.891750783153512</v>
      </c>
    </row>
    <row r="87" spans="2:9">
      <c r="B87" s="2" t="s">
        <v>54</v>
      </c>
      <c r="F87" s="14">
        <f>MAX(I80:I83)</f>
        <v>63.425471963933497</v>
      </c>
      <c r="G87" s="2" t="s">
        <v>55</v>
      </c>
    </row>
    <row r="89" spans="2:9" ht="16.5">
      <c r="B89" s="25" t="s">
        <v>92</v>
      </c>
      <c r="C89"/>
      <c r="D89"/>
      <c r="E89"/>
      <c r="F89"/>
      <c r="G89"/>
      <c r="H89"/>
    </row>
    <row r="90" spans="2:9">
      <c r="B90" s="2" t="s">
        <v>110</v>
      </c>
    </row>
    <row r="91" spans="2:9">
      <c r="B91" s="2" t="s">
        <v>93</v>
      </c>
    </row>
    <row r="92" spans="2:9">
      <c r="B92" s="2" t="s">
        <v>94</v>
      </c>
      <c r="G92" s="2">
        <v>150</v>
      </c>
      <c r="H92" s="2" t="s">
        <v>11</v>
      </c>
    </row>
    <row r="93" spans="2:9">
      <c r="B93" s="2" t="s">
        <v>95</v>
      </c>
      <c r="G93" s="2">
        <f>3.14*(G92*0.001)^2/4</f>
        <v>1.7662500000000001E-2</v>
      </c>
      <c r="H93" s="2" t="s">
        <v>20</v>
      </c>
    </row>
    <row r="94" spans="2:9">
      <c r="B94" s="2" t="s">
        <v>96</v>
      </c>
      <c r="G94" s="2">
        <v>150</v>
      </c>
      <c r="H94" s="2" t="s">
        <v>97</v>
      </c>
    </row>
    <row r="95" spans="2:9">
      <c r="B95" s="2" t="s">
        <v>98</v>
      </c>
      <c r="G95" s="2">
        <f>G93*G94</f>
        <v>2.649375</v>
      </c>
      <c r="H95" s="2" t="s">
        <v>55</v>
      </c>
    </row>
    <row r="97" spans="2:8">
      <c r="B97" s="2" t="s">
        <v>106</v>
      </c>
    </row>
    <row r="98" spans="2:8">
      <c r="B98" s="20" t="s">
        <v>100</v>
      </c>
      <c r="G98" s="2">
        <v>3.6</v>
      </c>
      <c r="H98" s="2" t="s">
        <v>97</v>
      </c>
    </row>
    <row r="99" spans="2:8">
      <c r="B99" s="2" t="s">
        <v>101</v>
      </c>
      <c r="G99" s="2">
        <v>3</v>
      </c>
      <c r="H99" s="2" t="s">
        <v>97</v>
      </c>
    </row>
    <row r="100" spans="2:8">
      <c r="B100" s="2" t="s">
        <v>102</v>
      </c>
      <c r="G100" s="2">
        <f>3.14*G98*G98/4*G99</f>
        <v>30.520800000000001</v>
      </c>
      <c r="H100" s="2" t="s">
        <v>55</v>
      </c>
    </row>
    <row r="102" spans="2:8">
      <c r="B102" s="22" t="s">
        <v>107</v>
      </c>
      <c r="C102" s="22"/>
      <c r="D102" s="22"/>
      <c r="E102" s="22"/>
      <c r="F102" s="22"/>
      <c r="G102" s="28">
        <f>G100+G95</f>
        <v>33.170175</v>
      </c>
      <c r="H102" s="22" t="s">
        <v>55</v>
      </c>
    </row>
    <row r="104" spans="2:8">
      <c r="B104" s="20" t="s">
        <v>108</v>
      </c>
    </row>
    <row r="105" spans="2:8">
      <c r="B105" s="20" t="s">
        <v>109</v>
      </c>
    </row>
  </sheetData>
  <mergeCells count="2">
    <mergeCell ref="B12:H12"/>
    <mergeCell ref="B69:I69"/>
  </mergeCells>
  <phoneticPr fontId="3" type="noConversion"/>
  <pageMargins left="0.7" right="0.7" top="0.75" bottom="0.75" header="0.3" footer="0.3"/>
  <pageSetup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110"/>
  <sheetViews>
    <sheetView tabSelected="1" topLeftCell="A88" zoomScaleNormal="100" zoomScaleSheetLayoutView="100" workbookViewId="0">
      <selection activeCell="G91" sqref="G91"/>
    </sheetView>
  </sheetViews>
  <sheetFormatPr defaultRowHeight="16.5"/>
  <cols>
    <col min="1" max="2" width="9" style="40"/>
    <col min="3" max="3" width="13.125" style="40" customWidth="1"/>
    <col min="4" max="8" width="9" style="40"/>
    <col min="9" max="9" width="10.375" style="40" customWidth="1"/>
    <col min="10" max="16384" width="9" style="40"/>
  </cols>
  <sheetData>
    <row r="1" spans="2:10">
      <c r="B1" s="25" t="s">
        <v>111</v>
      </c>
    </row>
    <row r="2" spans="2:10">
      <c r="B2" s="40" t="s">
        <v>112</v>
      </c>
    </row>
    <row r="3" spans="2:10">
      <c r="B3" s="40" t="s">
        <v>113</v>
      </c>
      <c r="C3" s="25" t="s">
        <v>114</v>
      </c>
    </row>
    <row r="4" spans="2:10">
      <c r="B4" s="40" t="s">
        <v>115</v>
      </c>
      <c r="C4" s="25" t="s">
        <v>116</v>
      </c>
    </row>
    <row r="5" spans="2:10">
      <c r="B5" s="40" t="s">
        <v>117</v>
      </c>
      <c r="C5" s="40" t="s">
        <v>118</v>
      </c>
    </row>
    <row r="6" spans="2:10">
      <c r="B6" s="40" t="s">
        <v>119</v>
      </c>
      <c r="C6" s="40" t="s">
        <v>120</v>
      </c>
    </row>
    <row r="7" spans="2:10">
      <c r="B7" s="31" t="s">
        <v>2</v>
      </c>
      <c r="H7" s="25" t="s">
        <v>121</v>
      </c>
    </row>
    <row r="8" spans="2:10" ht="71.25" customHeight="1">
      <c r="B8" s="62" t="s">
        <v>3</v>
      </c>
      <c r="C8" s="62"/>
      <c r="D8" s="62"/>
      <c r="E8" s="62"/>
      <c r="F8" s="62"/>
      <c r="G8" s="63"/>
      <c r="H8" s="57" t="s">
        <v>122</v>
      </c>
      <c r="I8" s="57" t="s">
        <v>123</v>
      </c>
      <c r="J8" s="57" t="s">
        <v>124</v>
      </c>
    </row>
    <row r="9" spans="2:10">
      <c r="H9" s="48">
        <v>10</v>
      </c>
      <c r="I9" s="48">
        <v>39</v>
      </c>
      <c r="J9" s="48">
        <v>60</v>
      </c>
    </row>
    <row r="10" spans="2:10">
      <c r="B10" s="40" t="s">
        <v>4</v>
      </c>
      <c r="H10" s="48">
        <v>15</v>
      </c>
      <c r="I10" s="48">
        <v>27.98</v>
      </c>
      <c r="J10" s="48">
        <v>48</v>
      </c>
    </row>
    <row r="11" spans="2:10">
      <c r="H11" s="48">
        <v>30</v>
      </c>
      <c r="I11" s="48">
        <v>19.989999999999998</v>
      </c>
      <c r="J11" s="48">
        <v>34</v>
      </c>
    </row>
    <row r="12" spans="2:10">
      <c r="B12" s="40" t="s">
        <v>5</v>
      </c>
      <c r="F12" s="40" t="s">
        <v>6</v>
      </c>
      <c r="H12" s="48">
        <v>60</v>
      </c>
      <c r="I12" s="52">
        <v>14.29</v>
      </c>
      <c r="J12" s="48">
        <v>24.5</v>
      </c>
    </row>
    <row r="13" spans="2:10">
      <c r="B13" s="40" t="s">
        <v>7</v>
      </c>
      <c r="H13" s="48">
        <v>120</v>
      </c>
      <c r="I13" s="52">
        <v>10.210000000000001</v>
      </c>
      <c r="J13" s="48">
        <v>17.559999999999999</v>
      </c>
    </row>
    <row r="14" spans="2:10">
      <c r="H14" s="48">
        <f>12*60</f>
        <v>720</v>
      </c>
      <c r="I14" s="52">
        <v>4.28</v>
      </c>
      <c r="J14" s="48">
        <v>7.37</v>
      </c>
    </row>
    <row r="15" spans="2:10">
      <c r="H15" s="48">
        <f>24*60</f>
        <v>1440</v>
      </c>
      <c r="I15" s="52">
        <v>3.06</v>
      </c>
      <c r="J15" s="48">
        <v>5.26</v>
      </c>
    </row>
    <row r="16" spans="2:10">
      <c r="B16" s="31" t="s">
        <v>56</v>
      </c>
      <c r="H16" s="55"/>
      <c r="I16" s="56"/>
      <c r="J16" s="55"/>
    </row>
    <row r="17" spans="2:11" ht="36.75" customHeight="1">
      <c r="B17" s="62" t="s">
        <v>75</v>
      </c>
      <c r="C17" s="62"/>
      <c r="D17" s="62"/>
      <c r="E17" s="62"/>
      <c r="F17" s="62"/>
      <c r="G17" s="62"/>
      <c r="H17" s="62"/>
      <c r="I17" s="62"/>
      <c r="J17" s="62"/>
      <c r="K17" s="62"/>
    </row>
    <row r="18" spans="2:11" ht="16.5" customHeight="1">
      <c r="B18" s="40" t="s">
        <v>125</v>
      </c>
    </row>
    <row r="20" spans="2:11">
      <c r="B20" s="40" t="s">
        <v>126</v>
      </c>
      <c r="D20" s="40" t="s">
        <v>127</v>
      </c>
    </row>
    <row r="21" spans="2:11" ht="16.5" customHeight="1">
      <c r="B21" s="40" t="s">
        <v>128</v>
      </c>
      <c r="D21" s="41">
        <v>1.2E-4</v>
      </c>
      <c r="E21" s="40" t="s">
        <v>129</v>
      </c>
    </row>
    <row r="22" spans="2:11">
      <c r="B22" s="40" t="s">
        <v>130</v>
      </c>
      <c r="D22" s="40" t="s">
        <v>131</v>
      </c>
    </row>
    <row r="24" spans="2:11">
      <c r="B24" s="26" t="s">
        <v>132</v>
      </c>
      <c r="E24" s="40" t="s">
        <v>133</v>
      </c>
      <c r="G24" s="40" t="s">
        <v>134</v>
      </c>
    </row>
    <row r="25" spans="2:11">
      <c r="B25" s="40" t="s">
        <v>135</v>
      </c>
      <c r="E25" s="35">
        <v>278.89999999999998</v>
      </c>
      <c r="F25" s="40" t="s">
        <v>20</v>
      </c>
      <c r="G25" s="42">
        <v>1</v>
      </c>
    </row>
    <row r="26" spans="2:11">
      <c r="B26" s="40" t="s">
        <v>136</v>
      </c>
      <c r="E26" s="35">
        <v>0</v>
      </c>
      <c r="F26" s="40" t="s">
        <v>20</v>
      </c>
      <c r="G26" s="42">
        <v>0.95</v>
      </c>
    </row>
    <row r="27" spans="2:11">
      <c r="B27" s="40" t="s">
        <v>137</v>
      </c>
      <c r="E27" s="35">
        <v>499.1</v>
      </c>
      <c r="F27" s="40" t="s">
        <v>20</v>
      </c>
      <c r="G27" s="42">
        <v>0.3</v>
      </c>
    </row>
    <row r="28" spans="2:11">
      <c r="B28" s="25" t="s">
        <v>138</v>
      </c>
      <c r="C28" s="25"/>
      <c r="D28" s="25"/>
      <c r="E28" s="25">
        <f>SUM(E25:E27)</f>
        <v>778</v>
      </c>
      <c r="F28" s="25" t="s">
        <v>20</v>
      </c>
      <c r="G28" s="34">
        <f>(G25*E25+G26*E26+G27*E27)/E28</f>
        <v>0.5509383033419023</v>
      </c>
    </row>
    <row r="30" spans="2:11">
      <c r="B30" s="26" t="s">
        <v>139</v>
      </c>
      <c r="E30" s="40" t="s">
        <v>133</v>
      </c>
      <c r="G30" s="40" t="s">
        <v>134</v>
      </c>
      <c r="H30" s="40" t="s">
        <v>140</v>
      </c>
    </row>
    <row r="31" spans="2:11">
      <c r="B31" s="40" t="s">
        <v>135</v>
      </c>
      <c r="E31" s="35">
        <v>414.8</v>
      </c>
      <c r="F31" s="40" t="s">
        <v>20</v>
      </c>
      <c r="G31" s="42">
        <v>0.95</v>
      </c>
      <c r="H31" s="43">
        <v>1</v>
      </c>
    </row>
    <row r="32" spans="2:11">
      <c r="B32" s="40" t="s">
        <v>136</v>
      </c>
      <c r="E32" s="35">
        <v>0</v>
      </c>
      <c r="F32" s="40" t="s">
        <v>20</v>
      </c>
      <c r="G32" s="42">
        <v>0.95</v>
      </c>
      <c r="H32" s="43">
        <v>0.5</v>
      </c>
    </row>
    <row r="33" spans="2:11">
      <c r="B33" s="40" t="s">
        <v>137</v>
      </c>
      <c r="E33" s="35">
        <v>363.2</v>
      </c>
      <c r="F33" s="40" t="s">
        <v>20</v>
      </c>
      <c r="G33" s="42">
        <v>0.3</v>
      </c>
      <c r="H33" s="43">
        <v>0.1</v>
      </c>
    </row>
    <row r="34" spans="2:11">
      <c r="B34" s="40" t="s">
        <v>141</v>
      </c>
      <c r="E34" s="35">
        <v>0</v>
      </c>
      <c r="F34" s="40" t="s">
        <v>20</v>
      </c>
      <c r="G34" s="42">
        <v>0</v>
      </c>
      <c r="H34" s="43">
        <v>0</v>
      </c>
    </row>
    <row r="35" spans="2:11">
      <c r="B35" s="25" t="s">
        <v>138</v>
      </c>
      <c r="C35" s="25"/>
      <c r="D35" s="25"/>
      <c r="E35" s="25">
        <f>SUM(E31:E34)</f>
        <v>778</v>
      </c>
      <c r="F35" s="25" t="s">
        <v>20</v>
      </c>
      <c r="G35" s="34">
        <f>(G31*E31+G32*E32+G33*E33+E34*G34)/E35</f>
        <v>0.64655526992287915</v>
      </c>
      <c r="H35" s="44">
        <f>(H31*E31+H32*E32+H33*E33+E34*H34)/E35</f>
        <v>0.57984575835475582</v>
      </c>
    </row>
    <row r="37" spans="2:11">
      <c r="B37" s="26" t="s">
        <v>142</v>
      </c>
      <c r="G37" s="26" t="s">
        <v>143</v>
      </c>
    </row>
    <row r="38" spans="2:11">
      <c r="B38" s="40" t="s">
        <v>144</v>
      </c>
      <c r="E38" s="40">
        <f>E28</f>
        <v>778</v>
      </c>
      <c r="F38" s="40" t="s">
        <v>20</v>
      </c>
      <c r="G38" s="40" t="s">
        <v>144</v>
      </c>
      <c r="J38" s="40">
        <f>E35</f>
        <v>778</v>
      </c>
      <c r="K38" s="40" t="s">
        <v>20</v>
      </c>
    </row>
    <row r="39" spans="2:11">
      <c r="B39" s="40" t="s">
        <v>145</v>
      </c>
      <c r="E39" s="42">
        <f>G28</f>
        <v>0.5509383033419023</v>
      </c>
      <c r="G39" s="40" t="s">
        <v>145</v>
      </c>
      <c r="J39" s="42">
        <f>G35</f>
        <v>0.64655526992287915</v>
      </c>
    </row>
    <row r="40" spans="2:11">
      <c r="B40" s="40" t="s">
        <v>146</v>
      </c>
      <c r="E40" s="35">
        <v>10</v>
      </c>
      <c r="F40" s="40" t="s">
        <v>147</v>
      </c>
      <c r="G40" s="40" t="s">
        <v>146</v>
      </c>
      <c r="J40" s="35">
        <v>10</v>
      </c>
      <c r="K40" s="40" t="s">
        <v>147</v>
      </c>
    </row>
    <row r="41" spans="2:11">
      <c r="B41" s="40" t="s">
        <v>148</v>
      </c>
      <c r="E41" s="40">
        <f>J9</f>
        <v>60</v>
      </c>
      <c r="F41" s="40" t="s">
        <v>149</v>
      </c>
      <c r="G41" s="40" t="s">
        <v>148</v>
      </c>
      <c r="J41" s="40">
        <f>J9</f>
        <v>60</v>
      </c>
      <c r="K41" s="40" t="s">
        <v>149</v>
      </c>
    </row>
    <row r="42" spans="2:11">
      <c r="B42" s="34" t="s">
        <v>150</v>
      </c>
      <c r="E42" s="34">
        <f>E38*E39*E41/360/10</f>
        <v>7.1438333333333333</v>
      </c>
      <c r="F42" s="40" t="s">
        <v>151</v>
      </c>
      <c r="G42" s="34" t="s">
        <v>150</v>
      </c>
      <c r="J42" s="34">
        <f>J38*J39*J41/10/360</f>
        <v>8.3836666666666666</v>
      </c>
      <c r="K42" s="40" t="s">
        <v>151</v>
      </c>
    </row>
    <row r="44" spans="2:11">
      <c r="B44" s="26" t="s">
        <v>152</v>
      </c>
      <c r="E44" s="40" t="s">
        <v>153</v>
      </c>
      <c r="G44" s="40" t="s">
        <v>154</v>
      </c>
      <c r="I44" s="40" t="s">
        <v>155</v>
      </c>
    </row>
    <row r="45" spans="2:11">
      <c r="B45" s="40" t="s">
        <v>156</v>
      </c>
      <c r="E45" s="40">
        <f>E25+E26</f>
        <v>278.89999999999998</v>
      </c>
      <c r="F45" s="40" t="s">
        <v>20</v>
      </c>
      <c r="G45" s="40">
        <f>E31+E32</f>
        <v>414.8</v>
      </c>
      <c r="H45" s="40" t="s">
        <v>20</v>
      </c>
      <c r="I45" s="44">
        <f>(G45-E45)/E45</f>
        <v>0.48727142344926511</v>
      </c>
    </row>
    <row r="46" spans="2:11">
      <c r="B46" s="40" t="s">
        <v>157</v>
      </c>
      <c r="E46" s="42">
        <f>E42</f>
        <v>7.1438333333333333</v>
      </c>
      <c r="F46" s="40" t="s">
        <v>151</v>
      </c>
      <c r="G46" s="42">
        <f>J42</f>
        <v>8.3836666666666666</v>
      </c>
      <c r="H46" s="40" t="s">
        <v>151</v>
      </c>
      <c r="I46" s="44">
        <f>(G46-E46)/E46</f>
        <v>0.17355294776380562</v>
      </c>
    </row>
    <row r="48" spans="2:11">
      <c r="B48" s="26" t="s">
        <v>158</v>
      </c>
      <c r="G48" s="26" t="s">
        <v>159</v>
      </c>
    </row>
    <row r="49" spans="2:10">
      <c r="B49" s="40" t="s">
        <v>160</v>
      </c>
      <c r="D49" s="40">
        <f>E31*H31+E32*H32+E33*H33+E34*H34</f>
        <v>451.12</v>
      </c>
      <c r="E49" s="40" t="s">
        <v>20</v>
      </c>
      <c r="G49" s="40" t="s">
        <v>160</v>
      </c>
      <c r="I49" s="40">
        <f>E35-D49</f>
        <v>326.88</v>
      </c>
      <c r="J49" s="40" t="s">
        <v>20</v>
      </c>
    </row>
    <row r="50" spans="2:10">
      <c r="B50" s="40" t="s">
        <v>161</v>
      </c>
      <c r="D50" s="40">
        <v>0.9</v>
      </c>
      <c r="G50" s="40" t="s">
        <v>161</v>
      </c>
      <c r="I50" s="40">
        <v>0.47299999999999998</v>
      </c>
    </row>
    <row r="51" spans="2:10">
      <c r="B51" s="40" t="s">
        <v>162</v>
      </c>
      <c r="D51" s="35">
        <v>10</v>
      </c>
      <c r="E51" s="40" t="s">
        <v>147</v>
      </c>
      <c r="G51" s="40" t="s">
        <v>162</v>
      </c>
      <c r="I51" s="35">
        <v>10</v>
      </c>
      <c r="J51" s="40" t="s">
        <v>147</v>
      </c>
    </row>
    <row r="52" spans="2:10">
      <c r="B52" s="40" t="s">
        <v>148</v>
      </c>
      <c r="D52" s="40">
        <f>J9</f>
        <v>60</v>
      </c>
      <c r="E52" s="40" t="s">
        <v>149</v>
      </c>
      <c r="G52" s="40" t="s">
        <v>148</v>
      </c>
      <c r="I52" s="40">
        <f>J9</f>
        <v>60</v>
      </c>
      <c r="J52" s="40" t="s">
        <v>149</v>
      </c>
    </row>
    <row r="53" spans="2:10">
      <c r="B53" s="25" t="s">
        <v>163</v>
      </c>
      <c r="C53" s="25"/>
      <c r="D53" s="34">
        <f>D49*D50*D52/360/10000*1000</f>
        <v>6.7668000000000008</v>
      </c>
      <c r="E53" s="25" t="s">
        <v>151</v>
      </c>
      <c r="G53" s="25" t="s">
        <v>163</v>
      </c>
      <c r="H53" s="25"/>
      <c r="I53" s="34">
        <f>I49*I50*I52/360/10000*1000</f>
        <v>2.5769040000000003</v>
      </c>
      <c r="J53" s="25" t="s">
        <v>151</v>
      </c>
    </row>
    <row r="55" spans="2:10">
      <c r="B55" s="26" t="s">
        <v>164</v>
      </c>
    </row>
    <row r="56" spans="2:10">
      <c r="B56" s="40" t="s">
        <v>165</v>
      </c>
      <c r="C56" s="35">
        <v>1</v>
      </c>
      <c r="D56" s="40" t="s">
        <v>97</v>
      </c>
      <c r="F56" s="40" t="s">
        <v>166</v>
      </c>
      <c r="H56" s="42">
        <f>E42</f>
        <v>7.1438333333333333</v>
      </c>
      <c r="I56" s="40" t="s">
        <v>151</v>
      </c>
    </row>
    <row r="57" spans="2:10">
      <c r="B57" s="40" t="s">
        <v>167</v>
      </c>
      <c r="C57" s="35">
        <v>40</v>
      </c>
      <c r="D57" s="40" t="s">
        <v>11</v>
      </c>
      <c r="F57" s="40" t="s">
        <v>168</v>
      </c>
      <c r="H57" s="42">
        <f>I53</f>
        <v>2.5769040000000003</v>
      </c>
      <c r="I57" s="40" t="s">
        <v>151</v>
      </c>
    </row>
    <row r="58" spans="2:10">
      <c r="B58" s="34" t="s">
        <v>169</v>
      </c>
      <c r="C58" s="34">
        <f>0.62*(3.14*(0.001*C57)^2/4)*((2*9.8*C56)^0.5)*1000</f>
        <v>3.4475404033368489</v>
      </c>
      <c r="D58" s="40" t="s">
        <v>151</v>
      </c>
      <c r="F58" s="25" t="s">
        <v>170</v>
      </c>
      <c r="G58" s="25"/>
      <c r="H58" s="34">
        <f>H56-H57</f>
        <v>4.5669293333333325</v>
      </c>
      <c r="I58" s="25" t="s">
        <v>151</v>
      </c>
    </row>
    <row r="60" spans="2:10">
      <c r="B60" s="25" t="s">
        <v>171</v>
      </c>
    </row>
    <row r="61" spans="2:10">
      <c r="B61" s="2" t="s">
        <v>34</v>
      </c>
      <c r="C61" s="20" t="s">
        <v>85</v>
      </c>
      <c r="D61" s="2"/>
      <c r="E61" s="2"/>
      <c r="F61" s="18">
        <f>H58</f>
        <v>4.5669293333333325</v>
      </c>
      <c r="G61" s="20" t="s">
        <v>86</v>
      </c>
      <c r="H61" s="2"/>
      <c r="I61" s="2"/>
    </row>
    <row r="62" spans="2:10">
      <c r="B62" s="2" t="s">
        <v>35</v>
      </c>
      <c r="C62" s="20" t="s">
        <v>87</v>
      </c>
      <c r="D62" s="2"/>
      <c r="E62" s="2"/>
      <c r="F62" s="2"/>
      <c r="G62" s="2"/>
      <c r="H62" s="2">
        <f>I51</f>
        <v>10</v>
      </c>
      <c r="I62" s="20" t="s">
        <v>88</v>
      </c>
    </row>
    <row r="63" spans="2:10" ht="16.5" customHeight="1">
      <c r="B63" s="2" t="s">
        <v>36</v>
      </c>
      <c r="C63" s="20" t="s">
        <v>89</v>
      </c>
      <c r="D63" s="2"/>
      <c r="E63" s="18">
        <f>J42</f>
        <v>8.3836666666666666</v>
      </c>
      <c r="F63" s="20" t="s">
        <v>172</v>
      </c>
      <c r="G63" s="24"/>
      <c r="H63" s="20"/>
      <c r="I63" s="2"/>
    </row>
    <row r="64" spans="2:10">
      <c r="B64" s="2" t="s">
        <v>37</v>
      </c>
      <c r="C64" s="2" t="s">
        <v>38</v>
      </c>
      <c r="D64" s="2"/>
      <c r="E64" s="2"/>
      <c r="F64" s="2"/>
      <c r="G64" s="2"/>
      <c r="H64" s="2"/>
      <c r="I64" s="2"/>
    </row>
    <row r="65" spans="2:10">
      <c r="B65" s="2" t="s">
        <v>39</v>
      </c>
      <c r="C65" s="2" t="s">
        <v>40</v>
      </c>
      <c r="D65" s="2"/>
      <c r="E65" s="2"/>
      <c r="F65" s="2"/>
      <c r="G65" s="2"/>
      <c r="H65" s="2"/>
      <c r="I65" s="2"/>
    </row>
    <row r="66" spans="2:10">
      <c r="B66" s="2" t="s">
        <v>41</v>
      </c>
      <c r="C66" s="2" t="s">
        <v>42</v>
      </c>
      <c r="D66" s="2"/>
      <c r="E66" s="2"/>
      <c r="F66" s="2"/>
      <c r="G66" s="2"/>
      <c r="H66" s="2"/>
      <c r="I66" s="2"/>
    </row>
    <row r="67" spans="2:10">
      <c r="B67" s="2"/>
      <c r="C67" s="2" t="s">
        <v>43</v>
      </c>
      <c r="D67" s="2"/>
      <c r="E67" s="2"/>
      <c r="F67" s="2"/>
      <c r="G67" s="2"/>
      <c r="H67" s="2"/>
      <c r="I67" s="2"/>
    </row>
    <row r="68" spans="2:10">
      <c r="B68" s="2" t="s">
        <v>44</v>
      </c>
      <c r="C68" s="2" t="s">
        <v>45</v>
      </c>
      <c r="D68" s="2"/>
      <c r="E68" s="2"/>
      <c r="F68" s="2"/>
      <c r="G68" s="2"/>
      <c r="H68" s="2"/>
      <c r="I68" s="2"/>
    </row>
    <row r="69" spans="2:10" ht="82.5">
      <c r="B69" s="45" t="s">
        <v>46</v>
      </c>
      <c r="C69" s="45" t="s">
        <v>90</v>
      </c>
      <c r="D69" s="45" t="s">
        <v>47</v>
      </c>
      <c r="E69" s="45" t="s">
        <v>48</v>
      </c>
      <c r="F69" s="45" t="s">
        <v>49</v>
      </c>
      <c r="G69" s="45" t="s">
        <v>50</v>
      </c>
      <c r="H69" s="45" t="s">
        <v>51</v>
      </c>
      <c r="I69" s="45" t="s">
        <v>52</v>
      </c>
      <c r="J69" s="45" t="s">
        <v>53</v>
      </c>
    </row>
    <row r="70" spans="2:10">
      <c r="B70" s="46">
        <v>1</v>
      </c>
      <c r="C70" s="47">
        <f>D70/60</f>
        <v>0.16666666666666666</v>
      </c>
      <c r="D70" s="48">
        <v>10</v>
      </c>
      <c r="E70" s="48">
        <v>60</v>
      </c>
      <c r="F70" s="49">
        <f>J38*J39*E70/360/10000</f>
        <v>8.383666666666666E-3</v>
      </c>
      <c r="G70" s="49">
        <f>$J$38*$J$39*E70/360/10000</f>
        <v>8.383666666666666E-3</v>
      </c>
      <c r="H70" s="50">
        <f>D70*G70*60</f>
        <v>5.0301999999999998</v>
      </c>
      <c r="I70" s="49">
        <f>H58*0.001</f>
        <v>4.5669293333333322E-3</v>
      </c>
      <c r="J70" s="51">
        <f>D70*60*(G70-I70)+0.5*60*$J$40*(1/G70-1/F70)*I70^2</f>
        <v>2.2900424000000004</v>
      </c>
    </row>
    <row r="71" spans="2:10">
      <c r="B71" s="46">
        <v>2</v>
      </c>
      <c r="C71" s="47">
        <f t="shared" ref="C71:C75" si="0">D71/60</f>
        <v>0.25</v>
      </c>
      <c r="D71" s="48">
        <v>15</v>
      </c>
      <c r="E71" s="48">
        <v>48</v>
      </c>
      <c r="F71" s="49">
        <f>F70</f>
        <v>8.383666666666666E-3</v>
      </c>
      <c r="G71" s="49">
        <f t="shared" ref="G71:G76" si="1">$J$38*$J$39*E71/360/10000</f>
        <v>6.7069333333333331E-3</v>
      </c>
      <c r="H71" s="50">
        <f t="shared" ref="H71:H76" si="2">D71*G71*60</f>
        <v>6.0362400000000003</v>
      </c>
      <c r="I71" s="49">
        <f>I70</f>
        <v>4.5669293333333322E-3</v>
      </c>
      <c r="J71" s="51">
        <f t="shared" ref="J71:J76" si="3">D71*60*(G71-I71)+0.5*60*$J$40*(1/G71-1/F71)*I71^2</f>
        <v>2.1125882207118454</v>
      </c>
    </row>
    <row r="72" spans="2:10">
      <c r="B72" s="46">
        <v>3</v>
      </c>
      <c r="C72" s="47">
        <f t="shared" si="0"/>
        <v>0.5</v>
      </c>
      <c r="D72" s="48">
        <v>30</v>
      </c>
      <c r="E72" s="48">
        <v>34</v>
      </c>
      <c r="F72" s="49">
        <f t="shared" ref="F72:F76" si="4">F71</f>
        <v>8.383666666666666E-3</v>
      </c>
      <c r="G72" s="49">
        <f t="shared" si="1"/>
        <v>4.7507444444444442E-3</v>
      </c>
      <c r="H72" s="50">
        <f t="shared" si="2"/>
        <v>8.5513399999999997</v>
      </c>
      <c r="I72" s="49">
        <f t="shared" ref="I72:I76" si="5">I71</f>
        <v>4.5669293333333322E-3</v>
      </c>
      <c r="J72" s="51">
        <f t="shared" si="3"/>
        <v>0.90159662805976082</v>
      </c>
    </row>
    <row r="73" spans="2:10">
      <c r="B73" s="46">
        <v>4</v>
      </c>
      <c r="C73" s="47">
        <f t="shared" si="0"/>
        <v>1</v>
      </c>
      <c r="D73" s="48">
        <v>60</v>
      </c>
      <c r="E73" s="48">
        <v>24.5</v>
      </c>
      <c r="F73" s="49">
        <f t="shared" si="4"/>
        <v>8.383666666666666E-3</v>
      </c>
      <c r="G73" s="49">
        <f t="shared" si="1"/>
        <v>3.4233305555555552E-3</v>
      </c>
      <c r="H73" s="50">
        <f t="shared" si="2"/>
        <v>12.323989999999998</v>
      </c>
      <c r="I73" s="49">
        <f t="shared" si="5"/>
        <v>4.5669293333333322E-3</v>
      </c>
      <c r="J73" s="51">
        <f t="shared" si="3"/>
        <v>-3.0355263697517563</v>
      </c>
    </row>
    <row r="74" spans="2:10">
      <c r="B74" s="46">
        <v>5</v>
      </c>
      <c r="C74" s="47">
        <f t="shared" si="0"/>
        <v>2</v>
      </c>
      <c r="D74" s="48">
        <v>120</v>
      </c>
      <c r="E74" s="48">
        <v>17.559999999999999</v>
      </c>
      <c r="F74" s="49">
        <f t="shared" si="4"/>
        <v>8.383666666666666E-3</v>
      </c>
      <c r="G74" s="49">
        <f t="shared" si="1"/>
        <v>2.4536197777777777E-3</v>
      </c>
      <c r="H74" s="50">
        <f t="shared" si="2"/>
        <v>17.666062400000001</v>
      </c>
      <c r="I74" s="49">
        <f t="shared" si="5"/>
        <v>4.5669293333333322E-3</v>
      </c>
      <c r="J74" s="51">
        <f t="shared" si="3"/>
        <v>-13.412035792480477</v>
      </c>
    </row>
    <row r="75" spans="2:10">
      <c r="B75" s="46">
        <v>6</v>
      </c>
      <c r="C75" s="47">
        <f t="shared" si="0"/>
        <v>12</v>
      </c>
      <c r="D75" s="48">
        <f>12*60</f>
        <v>720</v>
      </c>
      <c r="E75" s="48">
        <v>7.37</v>
      </c>
      <c r="F75" s="49">
        <f t="shared" si="4"/>
        <v>8.383666666666666E-3</v>
      </c>
      <c r="G75" s="49">
        <f t="shared" si="1"/>
        <v>1.0297937222222221E-3</v>
      </c>
      <c r="H75" s="50">
        <f t="shared" si="2"/>
        <v>44.487088799999995</v>
      </c>
      <c r="I75" s="49">
        <f t="shared" si="5"/>
        <v>4.5669293333333322E-3</v>
      </c>
      <c r="J75" s="51">
        <f t="shared" si="3"/>
        <v>-147.47457124229879</v>
      </c>
    </row>
    <row r="76" spans="2:10">
      <c r="B76" s="46">
        <v>7</v>
      </c>
      <c r="C76" s="47">
        <v>24</v>
      </c>
      <c r="D76" s="48">
        <f>24*60</f>
        <v>1440</v>
      </c>
      <c r="E76" s="48">
        <v>5.26</v>
      </c>
      <c r="F76" s="49">
        <f t="shared" si="4"/>
        <v>8.383666666666666E-3</v>
      </c>
      <c r="G76" s="49">
        <f t="shared" si="1"/>
        <v>7.3496811111111099E-4</v>
      </c>
      <c r="H76" s="50">
        <f t="shared" si="2"/>
        <v>63.501244799999988</v>
      </c>
      <c r="I76" s="49">
        <f t="shared" si="5"/>
        <v>4.5669293333333322E-3</v>
      </c>
      <c r="J76" s="51">
        <f t="shared" si="3"/>
        <v>-323.31442135835249</v>
      </c>
    </row>
    <row r="78" spans="2:10">
      <c r="B78" s="25" t="s">
        <v>173</v>
      </c>
      <c r="E78" s="53">
        <f>MAX(J70:J76)</f>
        <v>2.2900424000000004</v>
      </c>
      <c r="F78" s="40" t="s">
        <v>55</v>
      </c>
    </row>
    <row r="80" spans="2:10">
      <c r="B80" s="31" t="s">
        <v>174</v>
      </c>
    </row>
    <row r="81" spans="2:10">
      <c r="B81" s="26" t="s">
        <v>175</v>
      </c>
    </row>
    <row r="82" spans="2:10">
      <c r="B82" s="40" t="s">
        <v>176</v>
      </c>
    </row>
    <row r="83" spans="2:10">
      <c r="B83" s="40" t="s">
        <v>177</v>
      </c>
      <c r="D83" s="40">
        <v>457</v>
      </c>
      <c r="E83" s="40" t="s">
        <v>11</v>
      </c>
      <c r="F83" s="40">
        <v>2</v>
      </c>
      <c r="G83" s="40" t="s">
        <v>178</v>
      </c>
      <c r="H83" s="40" t="s">
        <v>179</v>
      </c>
      <c r="I83" s="40">
        <f>F83*D83*0.001</f>
        <v>0.91400000000000003</v>
      </c>
      <c r="J83" s="40" t="s">
        <v>97</v>
      </c>
    </row>
    <row r="84" spans="2:10">
      <c r="B84" s="40" t="s">
        <v>180</v>
      </c>
      <c r="D84" s="40">
        <v>457</v>
      </c>
      <c r="E84" s="40" t="s">
        <v>11</v>
      </c>
      <c r="F84" s="40">
        <v>2</v>
      </c>
      <c r="G84" s="40" t="s">
        <v>178</v>
      </c>
      <c r="H84" s="40" t="s">
        <v>181</v>
      </c>
      <c r="I84" s="40">
        <f t="shared" ref="I84:I85" si="6">F84*D84*0.001</f>
        <v>0.91400000000000003</v>
      </c>
      <c r="J84" s="40" t="s">
        <v>97</v>
      </c>
    </row>
    <row r="85" spans="2:10">
      <c r="B85" s="40" t="s">
        <v>182</v>
      </c>
      <c r="D85" s="40">
        <v>914</v>
      </c>
      <c r="E85" s="40" t="s">
        <v>11</v>
      </c>
      <c r="F85" s="40">
        <v>3</v>
      </c>
      <c r="G85" s="40" t="s">
        <v>178</v>
      </c>
      <c r="H85" s="40" t="s">
        <v>183</v>
      </c>
      <c r="I85" s="40">
        <f t="shared" si="6"/>
        <v>2.742</v>
      </c>
      <c r="J85" s="40" t="s">
        <v>97</v>
      </c>
    </row>
    <row r="86" spans="2:10">
      <c r="B86" s="40" t="s">
        <v>184</v>
      </c>
      <c r="D86" s="54">
        <v>0.95550000000000002</v>
      </c>
    </row>
    <row r="87" spans="2:10">
      <c r="B87" s="40" t="s">
        <v>185</v>
      </c>
      <c r="D87" s="42">
        <f>I83*I84*I85*D86</f>
        <v>2.1887216474760001</v>
      </c>
      <c r="E87" s="40" t="s">
        <v>55</v>
      </c>
    </row>
    <row r="88" spans="2:10">
      <c r="D88" s="42"/>
    </row>
    <row r="89" spans="2:10">
      <c r="B89" s="17" t="s">
        <v>93</v>
      </c>
      <c r="C89" s="2"/>
      <c r="D89" s="2"/>
      <c r="E89" s="2"/>
      <c r="F89" s="2"/>
      <c r="G89" s="2"/>
      <c r="H89" s="2"/>
    </row>
    <row r="90" spans="2:10">
      <c r="B90" s="2" t="s">
        <v>94</v>
      </c>
      <c r="C90" s="2"/>
      <c r="D90" s="2"/>
      <c r="E90" s="2"/>
      <c r="F90" s="2"/>
      <c r="G90" s="2">
        <v>150</v>
      </c>
      <c r="H90" s="2" t="s">
        <v>11</v>
      </c>
    </row>
    <row r="91" spans="2:10">
      <c r="B91" s="2" t="s">
        <v>95</v>
      </c>
      <c r="C91" s="2"/>
      <c r="D91" s="2"/>
      <c r="E91" s="2"/>
      <c r="F91" s="2"/>
      <c r="G91" s="2">
        <f>3.14*(G90*0.001)^2/4</f>
        <v>1.7662500000000001E-2</v>
      </c>
      <c r="H91" s="2" t="s">
        <v>20</v>
      </c>
    </row>
    <row r="92" spans="2:10">
      <c r="B92" s="2" t="s">
        <v>96</v>
      </c>
      <c r="C92" s="2"/>
      <c r="D92" s="2"/>
      <c r="E92" s="2"/>
      <c r="F92" s="2"/>
      <c r="G92" s="2">
        <v>85</v>
      </c>
      <c r="H92" s="2" t="s">
        <v>97</v>
      </c>
    </row>
    <row r="93" spans="2:10">
      <c r="B93" s="2" t="s">
        <v>98</v>
      </c>
      <c r="C93" s="2"/>
      <c r="D93" s="2"/>
      <c r="E93" s="2"/>
      <c r="F93" s="2"/>
      <c r="G93" s="18">
        <f>G91*G92</f>
        <v>1.5013125</v>
      </c>
      <c r="H93" s="2" t="s">
        <v>55</v>
      </c>
    </row>
    <row r="94" spans="2:10">
      <c r="B94" s="2"/>
      <c r="C94" s="2"/>
      <c r="D94" s="2"/>
      <c r="E94" s="2"/>
      <c r="F94" s="2"/>
      <c r="G94" s="2"/>
      <c r="H94" s="2"/>
    </row>
    <row r="95" spans="2:10">
      <c r="B95" s="17" t="s">
        <v>186</v>
      </c>
      <c r="C95" s="2"/>
      <c r="D95" s="2"/>
      <c r="E95" s="2"/>
      <c r="F95" s="2"/>
      <c r="G95" s="2"/>
      <c r="H95" s="2"/>
    </row>
    <row r="96" spans="2:10">
      <c r="B96" s="20" t="s">
        <v>100</v>
      </c>
      <c r="C96" s="2"/>
      <c r="D96" s="2"/>
      <c r="E96" s="2"/>
      <c r="F96" s="2"/>
      <c r="G96" s="2">
        <v>0.6</v>
      </c>
      <c r="H96" s="2" t="s">
        <v>97</v>
      </c>
    </row>
    <row r="97" spans="2:8">
      <c r="B97" s="2" t="s">
        <v>101</v>
      </c>
      <c r="C97" s="2"/>
      <c r="D97" s="2"/>
      <c r="E97" s="2"/>
      <c r="F97" s="2"/>
      <c r="G97" s="2">
        <v>0.6</v>
      </c>
      <c r="H97" s="2" t="s">
        <v>97</v>
      </c>
    </row>
    <row r="98" spans="2:8">
      <c r="B98" s="2" t="s">
        <v>102</v>
      </c>
      <c r="C98" s="2"/>
      <c r="D98" s="2"/>
      <c r="E98" s="2"/>
      <c r="F98" s="2"/>
      <c r="G98" s="18">
        <f>3.14*G96*G96/4*G97</f>
        <v>0.16955999999999996</v>
      </c>
      <c r="H98" s="2" t="s">
        <v>55</v>
      </c>
    </row>
    <row r="99" spans="2:8">
      <c r="D99" s="42"/>
    </row>
    <row r="100" spans="2:8">
      <c r="B100" s="3" t="s">
        <v>187</v>
      </c>
      <c r="C100" s="25"/>
      <c r="D100" s="34"/>
      <c r="E100" s="25"/>
      <c r="F100" s="25"/>
      <c r="G100" s="34">
        <f>D87+G93+G98</f>
        <v>3.8595941474760003</v>
      </c>
      <c r="H100" s="3" t="s">
        <v>55</v>
      </c>
    </row>
    <row r="102" spans="2:8">
      <c r="B102" s="25" t="s">
        <v>188</v>
      </c>
    </row>
    <row r="103" spans="2:8">
      <c r="B103" s="40" t="s">
        <v>189</v>
      </c>
      <c r="E103" s="42">
        <f>E42</f>
        <v>7.1438333333333333</v>
      </c>
      <c r="F103" s="40" t="s">
        <v>151</v>
      </c>
    </row>
    <row r="104" spans="2:8">
      <c r="B104" s="40" t="s">
        <v>190</v>
      </c>
      <c r="E104" s="42">
        <f>I53</f>
        <v>2.5769040000000003</v>
      </c>
      <c r="F104" s="40" t="s">
        <v>151</v>
      </c>
    </row>
    <row r="105" spans="2:8">
      <c r="B105" s="40" t="s">
        <v>191</v>
      </c>
      <c r="E105" s="42">
        <f>H58</f>
        <v>4.5669293333333325</v>
      </c>
      <c r="F105" s="40" t="s">
        <v>151</v>
      </c>
    </row>
    <row r="106" spans="2:8" ht="28.5" customHeight="1">
      <c r="B106" s="61" t="s">
        <v>192</v>
      </c>
      <c r="C106" s="61"/>
      <c r="D106" s="61"/>
      <c r="E106" s="34">
        <f>E105+E104-E103</f>
        <v>0</v>
      </c>
      <c r="F106" s="40" t="s">
        <v>151</v>
      </c>
      <c r="G106" s="25" t="s">
        <v>193</v>
      </c>
    </row>
    <row r="108" spans="2:8">
      <c r="B108" s="40" t="s">
        <v>173</v>
      </c>
      <c r="E108" s="53">
        <f>E78</f>
        <v>2.2900424000000004</v>
      </c>
      <c r="F108" s="40" t="s">
        <v>55</v>
      </c>
    </row>
    <row r="109" spans="2:8">
      <c r="B109" s="40" t="s">
        <v>194</v>
      </c>
      <c r="E109" s="42">
        <f>G100</f>
        <v>3.8595941474760003</v>
      </c>
      <c r="F109" s="40" t="s">
        <v>55</v>
      </c>
    </row>
    <row r="110" spans="2:8">
      <c r="B110" s="25" t="s">
        <v>195</v>
      </c>
      <c r="C110" s="25"/>
      <c r="D110" s="25"/>
      <c r="E110" s="34">
        <f>E109-E108</f>
        <v>1.5695517474759999</v>
      </c>
      <c r="F110" s="25" t="s">
        <v>55</v>
      </c>
      <c r="G110" s="25" t="s">
        <v>196</v>
      </c>
    </row>
  </sheetData>
  <mergeCells count="3">
    <mergeCell ref="B106:D106"/>
    <mergeCell ref="B17:K17"/>
    <mergeCell ref="B8:G8"/>
  </mergeCells>
  <phoneticPr fontId="3" type="noConversion"/>
  <pageMargins left="0.7" right="0.7" top="0.75" bottom="0.75" header="0.3" footer="0.3"/>
  <pageSetup scale="79" orientation="portrait" r:id="rId1"/>
  <colBreaks count="1" manualBreakCount="1">
    <brk id="11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80"/>
  <sheetViews>
    <sheetView view="pageBreakPreview" topLeftCell="A28" zoomScaleNormal="100" zoomScaleSheetLayoutView="100" workbookViewId="0">
      <selection activeCell="I59" sqref="I59"/>
    </sheetView>
  </sheetViews>
  <sheetFormatPr defaultRowHeight="16.5"/>
  <cols>
    <col min="3" max="3" width="13.125" customWidth="1"/>
  </cols>
  <sheetData>
    <row r="1" spans="2:7">
      <c r="B1" s="25" t="s">
        <v>111</v>
      </c>
    </row>
    <row r="3" spans="2:7">
      <c r="B3" t="s">
        <v>113</v>
      </c>
      <c r="C3" t="s">
        <v>197</v>
      </c>
    </row>
    <row r="4" spans="2:7">
      <c r="B4" t="s">
        <v>117</v>
      </c>
      <c r="C4" t="s">
        <v>118</v>
      </c>
    </row>
    <row r="5" spans="2:7">
      <c r="B5" t="s">
        <v>119</v>
      </c>
      <c r="C5" t="s">
        <v>120</v>
      </c>
    </row>
    <row r="7" spans="2:7">
      <c r="B7" s="31" t="s">
        <v>56</v>
      </c>
    </row>
    <row r="8" spans="2:7">
      <c r="B8" t="s">
        <v>125</v>
      </c>
    </row>
    <row r="10" spans="2:7">
      <c r="B10" t="s">
        <v>126</v>
      </c>
      <c r="D10" t="s">
        <v>198</v>
      </c>
    </row>
    <row r="11" spans="2:7">
      <c r="B11" t="s">
        <v>128</v>
      </c>
      <c r="D11" s="30">
        <v>1.2E-4</v>
      </c>
      <c r="E11" t="s">
        <v>129</v>
      </c>
    </row>
    <row r="12" spans="2:7">
      <c r="B12" t="s">
        <v>130</v>
      </c>
      <c r="D12" t="s">
        <v>199</v>
      </c>
    </row>
    <row r="14" spans="2:7">
      <c r="B14" s="26" t="s">
        <v>132</v>
      </c>
      <c r="E14" t="s">
        <v>133</v>
      </c>
      <c r="G14" t="s">
        <v>134</v>
      </c>
    </row>
    <row r="15" spans="2:7">
      <c r="B15" t="s">
        <v>135</v>
      </c>
      <c r="E15" s="35">
        <v>196</v>
      </c>
      <c r="F15" t="s">
        <v>20</v>
      </c>
      <c r="G15" s="32">
        <v>0.95</v>
      </c>
    </row>
    <row r="16" spans="2:7">
      <c r="B16" t="s">
        <v>136</v>
      </c>
      <c r="E16" s="35">
        <v>266</v>
      </c>
      <c r="F16" t="s">
        <v>20</v>
      </c>
      <c r="G16" s="32">
        <v>0.95</v>
      </c>
    </row>
    <row r="17" spans="2:11">
      <c r="B17" t="s">
        <v>137</v>
      </c>
      <c r="E17" s="35">
        <v>773</v>
      </c>
      <c r="F17" t="s">
        <v>20</v>
      </c>
      <c r="G17" s="32">
        <v>0.3</v>
      </c>
    </row>
    <row r="18" spans="2:11">
      <c r="B18" s="25" t="s">
        <v>138</v>
      </c>
      <c r="C18" s="25"/>
      <c r="D18" s="25"/>
      <c r="E18" s="25">
        <f>SUM(E15:E17)</f>
        <v>1235</v>
      </c>
      <c r="F18" s="25" t="s">
        <v>20</v>
      </c>
      <c r="G18" s="34">
        <f>(G15*E15+G16*E16+G17*E17)/E18</f>
        <v>0.54315789473684206</v>
      </c>
    </row>
    <row r="20" spans="2:11">
      <c r="B20" s="26" t="s">
        <v>139</v>
      </c>
      <c r="E20" t="s">
        <v>133</v>
      </c>
      <c r="G20" t="s">
        <v>134</v>
      </c>
      <c r="H20" t="s">
        <v>140</v>
      </c>
    </row>
    <row r="21" spans="2:11">
      <c r="B21" t="s">
        <v>135</v>
      </c>
      <c r="E21" s="35">
        <v>288</v>
      </c>
      <c r="F21" t="s">
        <v>20</v>
      </c>
      <c r="G21" s="32">
        <v>0.95</v>
      </c>
      <c r="H21" s="27">
        <v>1</v>
      </c>
    </row>
    <row r="22" spans="2:11">
      <c r="B22" t="s">
        <v>136</v>
      </c>
      <c r="E22" s="35">
        <v>426</v>
      </c>
      <c r="F22" t="s">
        <v>20</v>
      </c>
      <c r="G22" s="32">
        <v>0.95</v>
      </c>
      <c r="H22" s="27">
        <v>0.5</v>
      </c>
    </row>
    <row r="23" spans="2:11">
      <c r="B23" t="s">
        <v>137</v>
      </c>
      <c r="E23" s="35">
        <v>455</v>
      </c>
      <c r="F23" t="s">
        <v>20</v>
      </c>
      <c r="G23" s="32">
        <v>0.3</v>
      </c>
      <c r="H23" s="27">
        <v>0.1</v>
      </c>
    </row>
    <row r="24" spans="2:11">
      <c r="B24" t="s">
        <v>141</v>
      </c>
      <c r="E24" s="35">
        <v>66</v>
      </c>
      <c r="F24" t="s">
        <v>20</v>
      </c>
      <c r="G24" s="32">
        <v>0</v>
      </c>
      <c r="H24" s="27">
        <v>0</v>
      </c>
    </row>
    <row r="25" spans="2:11">
      <c r="B25" s="25" t="s">
        <v>138</v>
      </c>
      <c r="C25" s="25"/>
      <c r="D25" s="25"/>
      <c r="E25" s="25">
        <f>SUM(E21:E24)</f>
        <v>1235</v>
      </c>
      <c r="F25" s="25" t="s">
        <v>20</v>
      </c>
      <c r="G25" s="34">
        <f>(G21*E21+G22*E22+G23*E23+E24*G24)/E25</f>
        <v>0.65975708502024288</v>
      </c>
      <c r="H25" s="33">
        <f>(H21*E21+H22*E22+H23*E23+E24*H24)/E25</f>
        <v>0.44251012145748986</v>
      </c>
    </row>
    <row r="27" spans="2:11">
      <c r="B27" s="26" t="s">
        <v>142</v>
      </c>
      <c r="G27" s="26" t="s">
        <v>143</v>
      </c>
    </row>
    <row r="28" spans="2:11">
      <c r="B28" t="s">
        <v>144</v>
      </c>
      <c r="E28">
        <f>E18</f>
        <v>1235</v>
      </c>
      <c r="F28" t="s">
        <v>20</v>
      </c>
      <c r="G28" t="s">
        <v>144</v>
      </c>
      <c r="J28">
        <f>E25</f>
        <v>1235</v>
      </c>
      <c r="K28" t="s">
        <v>20</v>
      </c>
    </row>
    <row r="29" spans="2:11">
      <c r="B29" t="s">
        <v>145</v>
      </c>
      <c r="E29" s="32">
        <f>G18</f>
        <v>0.54315789473684206</v>
      </c>
      <c r="G29" t="s">
        <v>145</v>
      </c>
      <c r="J29" s="32">
        <f>G25</f>
        <v>0.65975708502024288</v>
      </c>
    </row>
    <row r="30" spans="2:11">
      <c r="B30" t="s">
        <v>146</v>
      </c>
      <c r="E30" s="35">
        <v>15</v>
      </c>
      <c r="F30" t="s">
        <v>147</v>
      </c>
      <c r="G30" t="s">
        <v>146</v>
      </c>
      <c r="J30" s="35">
        <v>15</v>
      </c>
      <c r="K30" t="s">
        <v>147</v>
      </c>
    </row>
    <row r="31" spans="2:11">
      <c r="B31" t="s">
        <v>148</v>
      </c>
      <c r="E31">
        <v>31</v>
      </c>
      <c r="F31" t="s">
        <v>149</v>
      </c>
      <c r="G31" t="s">
        <v>148</v>
      </c>
      <c r="J31">
        <v>31</v>
      </c>
      <c r="K31" t="s">
        <v>149</v>
      </c>
    </row>
    <row r="32" spans="2:11">
      <c r="B32" s="34" t="s">
        <v>150</v>
      </c>
      <c r="E32" s="34">
        <f>E28*E29*E31/360/10</f>
        <v>5.7763333333333327</v>
      </c>
      <c r="F32" t="s">
        <v>151</v>
      </c>
      <c r="G32" s="34" t="s">
        <v>150</v>
      </c>
      <c r="J32" s="34">
        <f>J28*J29*J31/10/360</f>
        <v>7.0163333333333338</v>
      </c>
      <c r="K32" t="s">
        <v>151</v>
      </c>
    </row>
    <row r="34" spans="2:10">
      <c r="B34" s="26" t="s">
        <v>152</v>
      </c>
      <c r="E34" t="s">
        <v>153</v>
      </c>
      <c r="G34" t="s">
        <v>154</v>
      </c>
      <c r="I34" t="s">
        <v>155</v>
      </c>
    </row>
    <row r="35" spans="2:10">
      <c r="B35" t="s">
        <v>156</v>
      </c>
      <c r="E35">
        <f>E15+E16</f>
        <v>462</v>
      </c>
      <c r="F35" t="s">
        <v>20</v>
      </c>
      <c r="G35">
        <f>E21+E22</f>
        <v>714</v>
      </c>
      <c r="H35" t="s">
        <v>20</v>
      </c>
      <c r="I35" s="33">
        <f>(G35-E35)/E35</f>
        <v>0.54545454545454541</v>
      </c>
    </row>
    <row r="36" spans="2:10">
      <c r="B36" t="s">
        <v>157</v>
      </c>
      <c r="E36" s="32">
        <f>E32</f>
        <v>5.7763333333333327</v>
      </c>
      <c r="F36" t="s">
        <v>151</v>
      </c>
      <c r="G36" s="32">
        <f>J32</f>
        <v>7.0163333333333338</v>
      </c>
      <c r="H36" t="s">
        <v>151</v>
      </c>
      <c r="I36" s="33">
        <f>(G36-E36)/E36</f>
        <v>0.21466905187835442</v>
      </c>
    </row>
    <row r="38" spans="2:10">
      <c r="B38" s="26" t="s">
        <v>158</v>
      </c>
      <c r="G38" s="26" t="s">
        <v>159</v>
      </c>
    </row>
    <row r="39" spans="2:10">
      <c r="B39" t="s">
        <v>160</v>
      </c>
      <c r="D39">
        <f>E21*H21+E22*H22+E23*H23+E24*H24</f>
        <v>546.5</v>
      </c>
      <c r="E39" t="s">
        <v>20</v>
      </c>
      <c r="G39" t="s">
        <v>160</v>
      </c>
      <c r="I39">
        <f>E25-D39</f>
        <v>688.5</v>
      </c>
      <c r="J39" t="s">
        <v>20</v>
      </c>
    </row>
    <row r="40" spans="2:10">
      <c r="B40" t="s">
        <v>161</v>
      </c>
      <c r="D40">
        <v>0.9</v>
      </c>
      <c r="G40" t="s">
        <v>161</v>
      </c>
      <c r="I40">
        <v>0.47299999999999998</v>
      </c>
    </row>
    <row r="41" spans="2:10">
      <c r="B41" t="s">
        <v>162</v>
      </c>
      <c r="D41" s="35">
        <v>15</v>
      </c>
      <c r="E41" t="s">
        <v>147</v>
      </c>
      <c r="G41" t="s">
        <v>162</v>
      </c>
      <c r="I41" s="35">
        <v>15</v>
      </c>
      <c r="J41" t="s">
        <v>147</v>
      </c>
    </row>
    <row r="42" spans="2:10">
      <c r="B42" t="s">
        <v>148</v>
      </c>
      <c r="D42">
        <v>31</v>
      </c>
      <c r="E42" t="s">
        <v>149</v>
      </c>
      <c r="G42" t="s">
        <v>148</v>
      </c>
      <c r="I42">
        <v>31</v>
      </c>
      <c r="J42" t="s">
        <v>149</v>
      </c>
    </row>
    <row r="43" spans="2:10">
      <c r="B43" s="25" t="s">
        <v>163</v>
      </c>
      <c r="C43" s="25"/>
      <c r="D43" s="34">
        <f>D39*D40*D42/360/10000*1000</f>
        <v>4.2353749999999994</v>
      </c>
      <c r="E43" s="25" t="s">
        <v>151</v>
      </c>
      <c r="G43" s="25" t="s">
        <v>163</v>
      </c>
      <c r="H43" s="25"/>
      <c r="I43" s="34">
        <f>I39*I40*I42/360/10000*1000</f>
        <v>2.8042987499999992</v>
      </c>
      <c r="J43" s="25" t="s">
        <v>151</v>
      </c>
    </row>
    <row r="45" spans="2:10">
      <c r="B45" s="26" t="s">
        <v>164</v>
      </c>
    </row>
    <row r="46" spans="2:10">
      <c r="B46" t="s">
        <v>165</v>
      </c>
      <c r="C46" s="35">
        <v>0.76</v>
      </c>
      <c r="D46" t="s">
        <v>97</v>
      </c>
      <c r="F46" t="s">
        <v>166</v>
      </c>
      <c r="H46" s="32">
        <f>E32</f>
        <v>5.7763333333333327</v>
      </c>
      <c r="I46" t="s">
        <v>151</v>
      </c>
    </row>
    <row r="47" spans="2:10">
      <c r="B47" t="s">
        <v>167</v>
      </c>
      <c r="C47" s="35">
        <v>40</v>
      </c>
      <c r="D47" t="s">
        <v>11</v>
      </c>
      <c r="F47" t="s">
        <v>168</v>
      </c>
      <c r="H47" s="32">
        <f>I43</f>
        <v>2.8042987499999992</v>
      </c>
      <c r="I47" t="s">
        <v>151</v>
      </c>
    </row>
    <row r="48" spans="2:10">
      <c r="B48" s="34" t="s">
        <v>169</v>
      </c>
      <c r="C48" s="34">
        <f>0.62*(3.14*(0.001*C47)^2/4)*((2*9.8*C46)^0.5)*1000</f>
        <v>3.0054960443837557</v>
      </c>
      <c r="D48" t="s">
        <v>151</v>
      </c>
      <c r="F48" s="25" t="s">
        <v>170</v>
      </c>
      <c r="G48" s="25"/>
      <c r="H48" s="34">
        <f>H46-H47</f>
        <v>2.9720345833333335</v>
      </c>
      <c r="I48" s="25" t="s">
        <v>151</v>
      </c>
    </row>
    <row r="50" spans="1:20">
      <c r="B50" s="25" t="s">
        <v>171</v>
      </c>
    </row>
    <row r="52" spans="1:20" ht="57">
      <c r="A52" s="7" t="s">
        <v>46</v>
      </c>
      <c r="B52" s="7" t="s">
        <v>90</v>
      </c>
      <c r="C52" s="7" t="s">
        <v>47</v>
      </c>
      <c r="D52" s="7" t="s">
        <v>48</v>
      </c>
      <c r="E52" s="7" t="s">
        <v>49</v>
      </c>
      <c r="F52" s="7" t="s">
        <v>50</v>
      </c>
      <c r="G52" s="7" t="s">
        <v>51</v>
      </c>
      <c r="H52" s="7" t="s">
        <v>52</v>
      </c>
      <c r="I52" s="7" t="s">
        <v>53</v>
      </c>
      <c r="R52" s="36" t="s">
        <v>122</v>
      </c>
      <c r="S52" s="36" t="s">
        <v>200</v>
      </c>
      <c r="T52" s="37" t="s">
        <v>201</v>
      </c>
    </row>
    <row r="53" spans="1:20">
      <c r="A53" s="8">
        <v>1</v>
      </c>
      <c r="B53" s="29">
        <f>C53/60</f>
        <v>0.16666666666666666</v>
      </c>
      <c r="C53" s="9">
        <v>10</v>
      </c>
      <c r="D53" s="9">
        <v>39</v>
      </c>
      <c r="E53" s="23">
        <f>J28*J29*D53/360/10000</f>
        <v>8.8269999999999998E-3</v>
      </c>
      <c r="F53" s="23">
        <f>$J$28*$J$29*D53/360/10000</f>
        <v>8.8269999999999998E-3</v>
      </c>
      <c r="G53" s="11">
        <f>C53*F53*60</f>
        <v>5.2961999999999998</v>
      </c>
      <c r="H53" s="10">
        <f>H48*0.001</f>
        <v>2.9720345833333336E-3</v>
      </c>
      <c r="I53" s="12">
        <f>C53*60*(F53-H53)+0.5*60*$J$30*(1/F53-1/E53)*H53^2</f>
        <v>3.5129792499999999</v>
      </c>
      <c r="R53" s="9">
        <v>10</v>
      </c>
      <c r="S53" s="9">
        <v>39</v>
      </c>
      <c r="T53" s="9">
        <v>60</v>
      </c>
    </row>
    <row r="54" spans="1:20">
      <c r="A54" s="8">
        <v>2</v>
      </c>
      <c r="B54" s="29">
        <f t="shared" ref="B54:B58" si="0">C54/60</f>
        <v>0.25</v>
      </c>
      <c r="C54" s="9">
        <v>15</v>
      </c>
      <c r="D54" s="9">
        <v>27.98</v>
      </c>
      <c r="E54" s="23">
        <f>E53</f>
        <v>8.8269999999999998E-3</v>
      </c>
      <c r="F54" s="23">
        <f t="shared" ref="F54:F59" si="1">$J$28*$J$29*D54/360/10000</f>
        <v>6.3328066666666662E-3</v>
      </c>
      <c r="G54" s="11">
        <f t="shared" ref="G54:G59" si="2">C54*F54*60</f>
        <v>5.6995259999999996</v>
      </c>
      <c r="H54" s="10">
        <f>H53</f>
        <v>2.9720345833333336E-3</v>
      </c>
      <c r="I54" s="12">
        <f t="shared" ref="I54:I59" si="3">C54*60*(F54-H54)+0.5*60*$J$30*(1/F54-1/E54)*H54^2</f>
        <v>3.2020488754116165</v>
      </c>
      <c r="R54" s="9">
        <v>15</v>
      </c>
      <c r="S54" s="9">
        <v>27.98</v>
      </c>
      <c r="T54" s="9">
        <v>48</v>
      </c>
    </row>
    <row r="55" spans="1:20">
      <c r="A55" s="8">
        <v>3</v>
      </c>
      <c r="B55" s="29">
        <f t="shared" si="0"/>
        <v>0.5</v>
      </c>
      <c r="C55" s="9">
        <v>30</v>
      </c>
      <c r="D55" s="9">
        <v>19.989999999999998</v>
      </c>
      <c r="E55" s="23">
        <f t="shared" ref="E55:E59" si="4">E54</f>
        <v>8.8269999999999998E-3</v>
      </c>
      <c r="F55" s="23">
        <f t="shared" si="1"/>
        <v>4.5244033333333329E-3</v>
      </c>
      <c r="G55" s="11">
        <f t="shared" si="2"/>
        <v>8.1439260000000004</v>
      </c>
      <c r="H55" s="10">
        <f t="shared" ref="H55:H59" si="5">H54</f>
        <v>2.9720345833333336E-3</v>
      </c>
      <c r="I55" s="12">
        <f t="shared" si="3"/>
        <v>3.2224930976508621</v>
      </c>
      <c r="R55" s="9">
        <v>30</v>
      </c>
      <c r="S55" s="9">
        <v>19.989999999999998</v>
      </c>
      <c r="T55" s="9">
        <v>34</v>
      </c>
    </row>
    <row r="56" spans="1:20">
      <c r="A56" s="8">
        <v>4</v>
      </c>
      <c r="B56" s="29">
        <f t="shared" si="0"/>
        <v>1</v>
      </c>
      <c r="C56" s="9">
        <v>60</v>
      </c>
      <c r="D56" s="13">
        <v>14.29</v>
      </c>
      <c r="E56" s="23">
        <f t="shared" si="4"/>
        <v>8.8269999999999998E-3</v>
      </c>
      <c r="F56" s="23">
        <f t="shared" si="1"/>
        <v>3.2343033333333332E-3</v>
      </c>
      <c r="G56" s="11">
        <f t="shared" si="2"/>
        <v>11.643491999999998</v>
      </c>
      <c r="H56" s="10">
        <f t="shared" si="5"/>
        <v>2.9720345833333336E-3</v>
      </c>
      <c r="I56" s="12">
        <f t="shared" si="3"/>
        <v>1.7228270620265851</v>
      </c>
      <c r="R56" s="9">
        <v>60</v>
      </c>
      <c r="S56" s="13">
        <v>14.29</v>
      </c>
      <c r="T56" s="9">
        <v>24.5</v>
      </c>
    </row>
    <row r="57" spans="1:20">
      <c r="A57" s="8">
        <v>5</v>
      </c>
      <c r="B57" s="29">
        <f t="shared" si="0"/>
        <v>2</v>
      </c>
      <c r="C57" s="9">
        <v>120</v>
      </c>
      <c r="D57" s="13">
        <v>10.210000000000001</v>
      </c>
      <c r="E57" s="23">
        <f t="shared" si="4"/>
        <v>8.8269999999999998E-3</v>
      </c>
      <c r="F57" s="23">
        <f t="shared" si="1"/>
        <v>2.3108633333333334E-3</v>
      </c>
      <c r="G57" s="11">
        <f t="shared" si="2"/>
        <v>16.638216</v>
      </c>
      <c r="H57" s="10">
        <f t="shared" si="5"/>
        <v>2.9720345833333336E-3</v>
      </c>
      <c r="I57" s="12">
        <f t="shared" si="3"/>
        <v>-3.4906689490768659</v>
      </c>
      <c r="R57" s="9">
        <v>120</v>
      </c>
      <c r="S57" s="13">
        <v>10.210000000000001</v>
      </c>
      <c r="T57" s="9">
        <v>17.559999999999999</v>
      </c>
    </row>
    <row r="58" spans="1:20">
      <c r="A58" s="8">
        <v>6</v>
      </c>
      <c r="B58" s="29">
        <f t="shared" si="0"/>
        <v>12</v>
      </c>
      <c r="C58" s="9">
        <f>12*60</f>
        <v>720</v>
      </c>
      <c r="D58" s="13">
        <v>4.28</v>
      </c>
      <c r="E58" s="23">
        <f t="shared" si="4"/>
        <v>8.8269999999999998E-3</v>
      </c>
      <c r="F58" s="23">
        <f t="shared" si="1"/>
        <v>9.687066666666667E-4</v>
      </c>
      <c r="G58" s="11">
        <f t="shared" si="2"/>
        <v>41.848128000000003</v>
      </c>
      <c r="H58" s="10">
        <f t="shared" si="5"/>
        <v>2.9720345833333336E-3</v>
      </c>
      <c r="I58" s="12">
        <f t="shared" si="3"/>
        <v>-82.890821684179343</v>
      </c>
      <c r="R58" s="9">
        <f>12*60</f>
        <v>720</v>
      </c>
      <c r="S58" s="13">
        <v>4.28</v>
      </c>
      <c r="T58" s="9">
        <v>7.37</v>
      </c>
    </row>
    <row r="59" spans="1:20">
      <c r="A59" s="8">
        <v>7</v>
      </c>
      <c r="B59" s="29">
        <v>24</v>
      </c>
      <c r="C59" s="9">
        <f>24*60</f>
        <v>1440</v>
      </c>
      <c r="D59" s="13">
        <v>3.06</v>
      </c>
      <c r="E59" s="23">
        <f t="shared" si="4"/>
        <v>8.8269999999999998E-3</v>
      </c>
      <c r="F59" s="23">
        <f t="shared" si="1"/>
        <v>6.9257999999999993E-4</v>
      </c>
      <c r="G59" s="11">
        <f t="shared" si="2"/>
        <v>59.838911999999993</v>
      </c>
      <c r="H59" s="10">
        <f t="shared" si="5"/>
        <v>2.9720345833333336E-3</v>
      </c>
      <c r="I59" s="12">
        <f t="shared" si="3"/>
        <v>-191.65599554382638</v>
      </c>
      <c r="R59" s="9">
        <f>24*60</f>
        <v>1440</v>
      </c>
      <c r="S59" s="13">
        <v>3.06</v>
      </c>
      <c r="T59" s="9">
        <v>5.26</v>
      </c>
    </row>
    <row r="61" spans="1:20">
      <c r="B61" s="25" t="s">
        <v>173</v>
      </c>
      <c r="E61" s="38">
        <f>MAX(I53:I59)</f>
        <v>3.5129792499999999</v>
      </c>
      <c r="F61" t="s">
        <v>55</v>
      </c>
    </row>
    <row r="63" spans="1:20">
      <c r="B63" s="31" t="s">
        <v>174</v>
      </c>
    </row>
    <row r="64" spans="1:20">
      <c r="B64" s="26" t="s">
        <v>175</v>
      </c>
    </row>
    <row r="65" spans="2:10">
      <c r="B65" t="s">
        <v>176</v>
      </c>
    </row>
    <row r="66" spans="2:10">
      <c r="B66" t="s">
        <v>177</v>
      </c>
      <c r="D66">
        <v>457</v>
      </c>
      <c r="E66" t="s">
        <v>11</v>
      </c>
      <c r="F66">
        <v>2</v>
      </c>
      <c r="G66" t="s">
        <v>178</v>
      </c>
      <c r="H66" t="s">
        <v>179</v>
      </c>
      <c r="I66">
        <f>F66*D66*0.001</f>
        <v>0.91400000000000003</v>
      </c>
      <c r="J66" t="s">
        <v>97</v>
      </c>
    </row>
    <row r="67" spans="2:10">
      <c r="B67" t="s">
        <v>180</v>
      </c>
      <c r="D67">
        <v>457</v>
      </c>
      <c r="E67" t="s">
        <v>11</v>
      </c>
      <c r="F67">
        <v>3</v>
      </c>
      <c r="G67" t="s">
        <v>178</v>
      </c>
      <c r="H67" t="s">
        <v>181</v>
      </c>
      <c r="I67">
        <f t="shared" ref="I67:I68" si="6">F67*D67*0.001</f>
        <v>1.371</v>
      </c>
      <c r="J67" t="s">
        <v>97</v>
      </c>
    </row>
    <row r="68" spans="2:10">
      <c r="B68" t="s">
        <v>182</v>
      </c>
      <c r="D68">
        <v>914</v>
      </c>
      <c r="E68" t="s">
        <v>11</v>
      </c>
      <c r="F68">
        <v>5</v>
      </c>
      <c r="G68" t="s">
        <v>178</v>
      </c>
      <c r="H68" t="s">
        <v>183</v>
      </c>
      <c r="I68">
        <f t="shared" si="6"/>
        <v>4.57</v>
      </c>
      <c r="J68" t="s">
        <v>97</v>
      </c>
    </row>
    <row r="69" spans="2:10">
      <c r="B69" t="s">
        <v>184</v>
      </c>
      <c r="D69" s="39">
        <v>0.95550000000000002</v>
      </c>
    </row>
    <row r="70" spans="2:10">
      <c r="B70" t="s">
        <v>185</v>
      </c>
      <c r="D70" s="32">
        <f>I66*I67*I68*D69</f>
        <v>5.4718041186900015</v>
      </c>
      <c r="E70" t="s">
        <v>55</v>
      </c>
    </row>
    <row r="72" spans="2:10">
      <c r="B72" s="25" t="s">
        <v>188</v>
      </c>
    </row>
    <row r="73" spans="2:10">
      <c r="B73" t="s">
        <v>189</v>
      </c>
      <c r="E73" s="32">
        <f>E32</f>
        <v>5.7763333333333327</v>
      </c>
      <c r="F73" t="s">
        <v>151</v>
      </c>
    </row>
    <row r="74" spans="2:10">
      <c r="B74" t="s">
        <v>190</v>
      </c>
      <c r="E74" s="32">
        <f>I43</f>
        <v>2.8042987499999992</v>
      </c>
      <c r="F74" t="s">
        <v>151</v>
      </c>
    </row>
    <row r="75" spans="2:10">
      <c r="B75" t="s">
        <v>191</v>
      </c>
      <c r="E75" s="32">
        <f>H48</f>
        <v>2.9720345833333335</v>
      </c>
      <c r="F75" t="s">
        <v>151</v>
      </c>
    </row>
    <row r="76" spans="2:10">
      <c r="B76" s="25" t="s">
        <v>202</v>
      </c>
      <c r="C76" s="25"/>
      <c r="D76" s="25"/>
      <c r="E76" s="34">
        <f>E75+E74-E73</f>
        <v>0</v>
      </c>
      <c r="F76" t="s">
        <v>151</v>
      </c>
    </row>
    <row r="78" spans="2:10">
      <c r="B78" t="s">
        <v>173</v>
      </c>
      <c r="E78" s="38">
        <f>E61</f>
        <v>3.5129792499999999</v>
      </c>
      <c r="F78" t="s">
        <v>55</v>
      </c>
    </row>
    <row r="79" spans="2:10">
      <c r="B79" t="s">
        <v>194</v>
      </c>
      <c r="E79" s="32">
        <f>D70</f>
        <v>5.4718041186900015</v>
      </c>
      <c r="F79" t="s">
        <v>55</v>
      </c>
    </row>
    <row r="80" spans="2:10">
      <c r="B80" s="25" t="s">
        <v>203</v>
      </c>
      <c r="C80" s="25"/>
      <c r="D80" s="25"/>
      <c r="E80" s="34">
        <f>E79-E78</f>
        <v>1.9588248686900016</v>
      </c>
      <c r="F80" s="25" t="s">
        <v>55</v>
      </c>
    </row>
  </sheetData>
  <phoneticPr fontId="3" type="noConversion"/>
  <pageMargins left="0.7" right="0.7" top="0.75" bottom="0.75" header="0.3" footer="0.3"/>
  <pageSetup scale="80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house project maple</vt:lpstr>
      <vt:lpstr>guide example maple</vt:lpstr>
      <vt:lpstr>maple ridge</vt:lpstr>
      <vt:lpstr>west vancouver</vt:lpstr>
      <vt:lpstr>'guide example maple'!Print_Area</vt:lpstr>
      <vt:lpstr>'house project maple'!Print_Area</vt:lpstr>
      <vt:lpstr>'maple ridge'!Print_Area</vt:lpstr>
      <vt:lpstr>'west vancouver'!Print_Area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dcterms:created xsi:type="dcterms:W3CDTF">2018-06-05T22:10:23Z</dcterms:created>
  <dcterms:modified xsi:type="dcterms:W3CDTF">2021-02-16T03:00:03Z</dcterms:modified>
</cp:coreProperties>
</file>