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80" windowWidth="19260" windowHeight="65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<sst xmlns="http://schemas.openxmlformats.org/spreadsheetml/2006/main" count="176" uniqueCount="145">
  <si>
    <t>流量</t>
  </si>
  <si>
    <t>Qg</t>
  </si>
  <si>
    <t>当量</t>
  </si>
  <si>
    <t>总数</t>
  </si>
  <si>
    <t>管段</t>
  </si>
  <si>
    <t>编号</t>
  </si>
  <si>
    <t>管经</t>
  </si>
  <si>
    <t>dj</t>
  </si>
  <si>
    <t>流速</t>
  </si>
  <si>
    <t>V</t>
  </si>
  <si>
    <t>单位</t>
  </si>
  <si>
    <t>管道</t>
  </si>
  <si>
    <t>长度</t>
  </si>
  <si>
    <t>沿程</t>
  </si>
  <si>
    <t>水头</t>
  </si>
  <si>
    <t>4、 水表水头损失：</t>
  </si>
  <si>
    <t>马桶</t>
  </si>
  <si>
    <t>备    注</t>
  </si>
  <si>
    <t>∑Ng</t>
  </si>
  <si>
    <t>（L/s）</t>
  </si>
  <si>
    <t>（mm）</t>
  </si>
  <si>
    <t>（m/s）</t>
  </si>
  <si>
    <t>i（mm/m）</t>
  </si>
  <si>
    <t>（m）</t>
  </si>
  <si>
    <t>hg（mm）</t>
  </si>
  <si>
    <t>2、 局部水头取25%</t>
  </si>
  <si>
    <t>5、 总水压：</t>
  </si>
  <si>
    <r>
      <t>1、 q</t>
    </r>
    <r>
      <rPr>
        <vertAlign val="subscript"/>
        <sz val="10"/>
        <rFont val="黑体"/>
        <family val="3"/>
      </rPr>
      <t>g</t>
    </r>
    <r>
      <rPr>
        <sz val="10"/>
        <rFont val="黑体"/>
        <family val="3"/>
      </rPr>
      <t>=a*0.2√Ng+KNg</t>
    </r>
  </si>
  <si>
    <r>
      <t>6</t>
    </r>
    <r>
      <rPr>
        <sz val="10"/>
        <rFont val="黑体"/>
        <family val="3"/>
      </rPr>
      <t>、计算管经为内经</t>
    </r>
  </si>
  <si>
    <t>（取自《建筑给水排水设计</t>
  </si>
  <si>
    <r>
      <t>手册》</t>
    </r>
    <r>
      <rPr>
        <sz val="10"/>
        <rFont val="Times New Roman"/>
        <family val="1"/>
      </rPr>
      <t>982</t>
    </r>
    <r>
      <rPr>
        <sz val="10"/>
        <rFont val="黑体"/>
        <family val="3"/>
      </rPr>
      <t>页）</t>
    </r>
  </si>
  <si>
    <t>给水卫生器具名称及卫生器具数</t>
  </si>
  <si>
    <r>
      <t>h</t>
    </r>
    <r>
      <rPr>
        <vertAlign val="subscript"/>
        <sz val="10"/>
        <rFont val="黑体"/>
        <family val="3"/>
      </rPr>
      <t>3</t>
    </r>
    <r>
      <rPr>
        <sz val="10"/>
        <rFont val="黑体"/>
        <family val="3"/>
      </rPr>
      <t>=2.5m</t>
    </r>
  </si>
  <si>
    <r>
      <t>流出水头：h</t>
    </r>
    <r>
      <rPr>
        <vertAlign val="subscript"/>
        <sz val="10"/>
        <rFont val="黑体"/>
        <family val="3"/>
      </rPr>
      <t>4</t>
    </r>
    <r>
      <rPr>
        <sz val="10"/>
        <rFont val="黑体"/>
        <family val="3"/>
      </rPr>
      <t>=2.5</t>
    </r>
  </si>
  <si>
    <r>
      <t>H=h</t>
    </r>
    <r>
      <rPr>
        <vertAlign val="subscript"/>
        <sz val="10"/>
        <rFont val="黑体"/>
        <family val="3"/>
      </rPr>
      <t>1</t>
    </r>
    <r>
      <rPr>
        <sz val="10"/>
        <rFont val="黑体"/>
        <family val="3"/>
      </rPr>
      <t>+h</t>
    </r>
    <r>
      <rPr>
        <vertAlign val="subscript"/>
        <sz val="10"/>
        <rFont val="黑体"/>
        <family val="3"/>
      </rPr>
      <t>2</t>
    </r>
    <r>
      <rPr>
        <sz val="10"/>
        <rFont val="黑体"/>
        <family val="3"/>
      </rPr>
      <t>+h</t>
    </r>
    <r>
      <rPr>
        <vertAlign val="subscript"/>
        <sz val="10"/>
        <rFont val="黑体"/>
        <family val="3"/>
      </rPr>
      <t>3</t>
    </r>
    <r>
      <rPr>
        <sz val="10"/>
        <rFont val="黑体"/>
        <family val="3"/>
      </rPr>
      <t>+h</t>
    </r>
    <r>
      <rPr>
        <vertAlign val="subscript"/>
        <sz val="10"/>
        <rFont val="黑体"/>
        <family val="3"/>
      </rPr>
      <t>4</t>
    </r>
  </si>
  <si>
    <t>洗脸盆</t>
  </si>
  <si>
    <t>~1</t>
  </si>
  <si>
    <t>1~2</t>
  </si>
  <si>
    <t>2~3</t>
  </si>
  <si>
    <t>3~4</t>
  </si>
  <si>
    <t>4~5</t>
  </si>
  <si>
    <t>5~6</t>
  </si>
  <si>
    <t>6~7</t>
  </si>
  <si>
    <t>7~8</t>
  </si>
  <si>
    <t>8~9</t>
  </si>
  <si>
    <t>9~10</t>
  </si>
  <si>
    <t>10~11</t>
  </si>
  <si>
    <t>11~12</t>
  </si>
  <si>
    <t>12~13</t>
  </si>
  <si>
    <t>13~14</t>
  </si>
  <si>
    <t>14~15</t>
  </si>
  <si>
    <t>15~16</t>
  </si>
  <si>
    <t>n</t>
  </si>
  <si>
    <t>k</t>
  </si>
  <si>
    <t>Q</t>
  </si>
  <si>
    <r>
      <t>l/</t>
    </r>
    <r>
      <rPr>
        <sz val="12"/>
        <rFont val="宋体"/>
        <family val="0"/>
      </rPr>
      <t>人</t>
    </r>
  </si>
  <si>
    <t>人</t>
  </si>
  <si>
    <t>h</t>
  </si>
  <si>
    <t>T</t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</si>
  <si>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</t>
    </r>
  </si>
  <si>
    <t>用水量：</t>
  </si>
  <si>
    <t>洗槽</t>
  </si>
  <si>
    <r>
      <t>3、 总水头h</t>
    </r>
    <r>
      <rPr>
        <vertAlign val="subscript"/>
        <sz val="10"/>
        <rFont val="黑体"/>
        <family val="3"/>
      </rPr>
      <t>2</t>
    </r>
    <r>
      <rPr>
        <sz val="10"/>
        <rFont val="黑体"/>
        <family val="3"/>
      </rPr>
      <t>=1.25*hg</t>
    </r>
  </si>
  <si>
    <t>洗涤盆</t>
  </si>
  <si>
    <r>
      <t>1</t>
    </r>
    <r>
      <rPr>
        <sz val="12"/>
        <rFont val="宋体"/>
        <family val="0"/>
      </rPr>
      <t>、水枪的充实水注长度</t>
    </r>
    <r>
      <rPr>
        <sz val="12"/>
        <rFont val="Times New Roman"/>
        <family val="1"/>
      </rPr>
      <t>(45</t>
    </r>
    <r>
      <rPr>
        <vertAlign val="superscript"/>
        <sz val="8"/>
        <rFont val="Times New Roman"/>
        <family val="1"/>
      </rPr>
      <t>0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、消火栓保护半径、消火栓布置间距：</t>
    </r>
  </si>
  <si>
    <r>
      <t>R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</si>
  <si>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t>b(m)</t>
  </si>
  <si>
    <r>
      <t>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(m)</t>
    </r>
  </si>
  <si>
    <r>
      <t>S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(m)</t>
    </r>
  </si>
  <si>
    <t>Ld(m)</t>
  </si>
  <si>
    <t>Ls(m)</t>
  </si>
  <si>
    <r>
      <t>H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(m)</t>
    </r>
  </si>
  <si>
    <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(m)</t>
    </r>
  </si>
  <si>
    <r>
      <t>h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>(mH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O)</t>
    </r>
  </si>
  <si>
    <r>
      <t>H</t>
    </r>
    <r>
      <rPr>
        <vertAlign val="subscript"/>
        <sz val="12"/>
        <rFont val="Times New Roman"/>
        <family val="1"/>
      </rPr>
      <t>q</t>
    </r>
    <r>
      <rPr>
        <sz val="12"/>
        <rFont val="Times New Roman"/>
        <family val="1"/>
      </rPr>
      <t>(mH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O)</t>
    </r>
  </si>
  <si>
    <r>
      <t>H</t>
    </r>
    <r>
      <rPr>
        <vertAlign val="subscript"/>
        <sz val="12"/>
        <rFont val="Times New Roman"/>
        <family val="1"/>
      </rPr>
      <t>xh</t>
    </r>
    <r>
      <rPr>
        <sz val="12"/>
        <rFont val="Times New Roman"/>
        <family val="1"/>
      </rPr>
      <t>(mH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O)</t>
    </r>
  </si>
  <si>
    <r>
      <t>q</t>
    </r>
    <r>
      <rPr>
        <vertAlign val="subscript"/>
        <sz val="12"/>
        <rFont val="Times New Roman"/>
        <family val="1"/>
      </rPr>
      <t>xh</t>
    </r>
    <r>
      <rPr>
        <sz val="12"/>
        <rFont val="Times New Roman"/>
        <family val="1"/>
      </rPr>
      <t>(L/S)</t>
    </r>
  </si>
  <si>
    <r>
      <t>S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'</t>
    </r>
  </si>
  <si>
    <t>Q(L/S)</t>
  </si>
  <si>
    <t>di(mm)</t>
  </si>
  <si>
    <r>
      <t>ν</t>
    </r>
    <r>
      <rPr>
        <sz val="12"/>
        <rFont val="Times New Roman"/>
        <family val="1"/>
      </rPr>
      <t>(m/s)</t>
    </r>
  </si>
  <si>
    <t>1000i</t>
  </si>
  <si>
    <t>L(m)</t>
  </si>
  <si>
    <r>
      <t>4</t>
    </r>
    <r>
      <rPr>
        <sz val="12"/>
        <rFont val="宋体"/>
        <family val="0"/>
      </rPr>
      <t>、管道水力计算：</t>
    </r>
  </si>
  <si>
    <r>
      <t>3</t>
    </r>
    <r>
      <rPr>
        <sz val="12"/>
        <rFont val="宋体"/>
        <family val="0"/>
      </rPr>
      <t>、几何高差</t>
    </r>
    <r>
      <rPr>
        <sz val="12"/>
        <rFont val="Times New Roman"/>
        <family val="1"/>
      </rPr>
      <t>(m)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H=20</t>
    </r>
  </si>
  <si>
    <r>
      <t>5</t>
    </r>
    <r>
      <rPr>
        <sz val="12"/>
        <rFont val="宋体"/>
        <family val="0"/>
      </rPr>
      <t>、入户水压</t>
    </r>
    <r>
      <rPr>
        <sz val="12"/>
        <rFont val="Times New Roman"/>
        <family val="1"/>
      </rPr>
      <t>(mH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O)</t>
    </r>
    <r>
      <rPr>
        <sz val="12"/>
        <rFont val="宋体"/>
        <family val="0"/>
      </rPr>
      <t>：</t>
    </r>
  </si>
  <si>
    <t>管段</t>
  </si>
  <si>
    <t>1~2'</t>
  </si>
  <si>
    <t>2'~2</t>
  </si>
  <si>
    <t>3~4</t>
  </si>
  <si>
    <t>4~5</t>
  </si>
  <si>
    <t>5~6</t>
  </si>
  <si>
    <r>
      <t>2</t>
    </r>
    <r>
      <rPr>
        <sz val="12"/>
        <rFont val="宋体"/>
        <family val="0"/>
      </rPr>
      <t>、消火栓栓口所需水压</t>
    </r>
    <r>
      <rPr>
        <sz val="12"/>
        <rFont val="Times New Roman"/>
        <family val="1"/>
      </rPr>
      <t>(mH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O)</t>
    </r>
    <r>
      <rPr>
        <sz val="12"/>
        <rFont val="宋体"/>
        <family val="0"/>
      </rPr>
      <t>、校核流量：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最小流量</t>
    </r>
    <r>
      <rPr>
        <sz val="12"/>
        <rFont val="Times New Roman"/>
        <family val="1"/>
      </rPr>
      <t>2.5L/s</t>
    </r>
    <r>
      <rPr>
        <sz val="12"/>
        <rFont val="宋体"/>
        <family val="0"/>
      </rPr>
      <t>、充实水柱≥</t>
    </r>
    <r>
      <rPr>
        <sz val="12"/>
        <rFont val="Times New Roman"/>
        <family val="1"/>
      </rPr>
      <t>7mH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O)</t>
    </r>
  </si>
  <si>
    <r>
      <t>沿程</t>
    </r>
    <r>
      <rPr>
        <sz val="12"/>
        <rFont val="Times New Roman"/>
        <family val="1"/>
      </rPr>
      <t>hy</t>
    </r>
  </si>
  <si>
    <r>
      <t>管损</t>
    </r>
    <r>
      <rPr>
        <sz val="12"/>
        <rFont val="Times New Roman"/>
        <family val="1"/>
      </rPr>
      <t>Hg</t>
    </r>
  </si>
  <si>
    <t>小便器</t>
  </si>
  <si>
    <t>~1‘</t>
  </si>
  <si>
    <t>1’~2‘</t>
  </si>
  <si>
    <t>2’~3‘</t>
  </si>
  <si>
    <t>3’~4‘</t>
  </si>
  <si>
    <t>4’~5‘</t>
  </si>
  <si>
    <t>5’~6‘</t>
  </si>
  <si>
    <t>6’~7‘</t>
  </si>
  <si>
    <t>7’~9</t>
  </si>
  <si>
    <t>1.25*2.881=3.60m</t>
  </si>
  <si>
    <r>
      <t>几何高度：h</t>
    </r>
    <r>
      <rPr>
        <vertAlign val="subscript"/>
        <sz val="10"/>
        <rFont val="黑体"/>
        <family val="3"/>
      </rPr>
      <t>1</t>
    </r>
    <r>
      <rPr>
        <sz val="10"/>
        <rFont val="黑体"/>
        <family val="3"/>
      </rPr>
      <t>=20m</t>
    </r>
  </si>
  <si>
    <r>
      <t>28.6</t>
    </r>
    <r>
      <rPr>
        <sz val="10"/>
        <rFont val="黑体"/>
        <family val="3"/>
      </rPr>
      <t>m</t>
    </r>
  </si>
  <si>
    <t>q</t>
  </si>
  <si>
    <t>Section</t>
  </si>
  <si>
    <t>Heating Load</t>
  </si>
  <si>
    <t>Diametre
d
mm</t>
  </si>
  <si>
    <t>length
L
m</t>
  </si>
  <si>
    <t>Friction
RxL
Pa</t>
  </si>
  <si>
    <t>Friction/m
R
Pa/m</t>
  </si>
  <si>
    <t>Velocity
V
m/s</t>
  </si>
  <si>
    <t>Head loss
hw
Pa</t>
  </si>
  <si>
    <t>Fitting loss factor</t>
  </si>
  <si>
    <t>PIPE SIZING/LOSS CALCULATION</t>
  </si>
  <si>
    <t>Friction Loss</t>
  </si>
  <si>
    <t>Loop</t>
  </si>
  <si>
    <t>DT</t>
  </si>
  <si>
    <t>Temp. Difference</t>
  </si>
  <si>
    <t>T supply</t>
  </si>
  <si>
    <t>T return</t>
  </si>
  <si>
    <t>C</t>
  </si>
  <si>
    <t>F</t>
  </si>
  <si>
    <t>Total Loss
RL+Z
Pa</t>
  </si>
  <si>
    <t>MBH</t>
  </si>
  <si>
    <t>W</t>
  </si>
  <si>
    <t>kg/s</t>
  </si>
  <si>
    <t>GPM</t>
  </si>
  <si>
    <t>IN</t>
  </si>
  <si>
    <t>FT</t>
  </si>
  <si>
    <t>IN.Water</t>
  </si>
  <si>
    <t>In.Water</t>
  </si>
  <si>
    <t>Fitting loss
Z=hw(Pa)</t>
  </si>
  <si>
    <t>Supply</t>
  </si>
  <si>
    <t>Main Floor</t>
  </si>
  <si>
    <t>FT.Water/100FT</t>
  </si>
  <si>
    <t>return main floor</t>
  </si>
  <si>
    <t>30a</t>
  </si>
  <si>
    <t>Second Floor Supply</t>
  </si>
  <si>
    <t>second floor return</t>
  </si>
  <si>
    <t>35a</t>
  </si>
  <si>
    <t>15a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</si>
</sst>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_ "/>
    <numFmt numFmtId="185" formatCode="0.0000_ "/>
    <numFmt numFmtId="186" formatCode="0.00_ "/>
    <numFmt numFmtId="187" formatCode="0.0_);[Red]\(0.0\)"/>
    <numFmt numFmtId="188" formatCode="0.00_);[Red]\(0.00\)"/>
    <numFmt numFmtId="189" formatCode="0_);[Red]\(0\)"/>
    <numFmt numFmtId="190" formatCode="0.0_ "/>
    <numFmt numFmtId="191" formatCode="#\ ?/8"/>
    <numFmt numFmtId="192" formatCode="0.00;[Red]0.00"/>
  </numFmts>
  <fonts count="6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0"/>
      <name val="黑体"/>
      <family val="3"/>
    </font>
    <font>
      <vertAlign val="subscript"/>
      <sz val="10"/>
      <name val="黑体"/>
      <family val="3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黑体"/>
      <family val="3"/>
    </font>
    <font>
      <vertAlign val="superscript"/>
      <sz val="8"/>
      <name val="Times New Roman"/>
      <family val="1"/>
    </font>
    <font>
      <vertAlign val="subscript"/>
      <sz val="12"/>
      <name val="Times New Roman"/>
      <family val="1"/>
    </font>
    <font>
      <sz val="12"/>
      <color indexed="10"/>
      <name val="宋体"/>
      <family val="0"/>
    </font>
    <font>
      <b/>
      <sz val="12"/>
      <color indexed="10"/>
      <name val="黑体"/>
      <family val="3"/>
    </font>
    <font>
      <sz val="12"/>
      <color indexed="10"/>
      <name val="黑体"/>
      <family val="3"/>
    </font>
    <font>
      <sz val="12"/>
      <color indexed="10"/>
      <name val="Times New Roman"/>
      <family val="1"/>
    </font>
    <font>
      <sz val="12"/>
      <color indexed="11"/>
      <name val="宋体"/>
      <family val="0"/>
    </font>
    <font>
      <sz val="12"/>
      <color indexed="11"/>
      <name val="黑体"/>
      <family val="3"/>
    </font>
    <font>
      <b/>
      <sz val="12"/>
      <color indexed="11"/>
      <name val="黑体"/>
      <family val="3"/>
    </font>
    <font>
      <sz val="12"/>
      <name val="Cambria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7"/>
      <name val="Cambria"/>
      <family val="1"/>
    </font>
    <font>
      <sz val="12"/>
      <color indexed="8"/>
      <name val="Cambria"/>
      <family val="1"/>
    </font>
    <font>
      <sz val="12"/>
      <color indexed="8"/>
      <name val="黑体"/>
      <family val="3"/>
    </font>
    <font>
      <b/>
      <sz val="12"/>
      <color indexed="17"/>
      <name val="Cambria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theme="6" tint="-0.4999699890613556"/>
      <name val="Cambria"/>
      <family val="1"/>
    </font>
    <font>
      <sz val="12"/>
      <color theme="1"/>
      <name val="Cambria"/>
      <family val="1"/>
    </font>
    <font>
      <sz val="12"/>
      <color theme="1"/>
      <name val="黑体"/>
      <family val="3"/>
    </font>
    <font>
      <b/>
      <sz val="12"/>
      <color theme="6" tint="-0.4999699890613556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88" fontId="4" fillId="0" borderId="11" xfId="0" applyNumberFormat="1" applyFont="1" applyBorder="1" applyAlignment="1">
      <alignment horizontal="center" vertical="center" shrinkToFit="1"/>
    </xf>
    <xf numFmtId="188" fontId="4" fillId="0" borderId="12" xfId="0" applyNumberFormat="1" applyFont="1" applyBorder="1" applyAlignment="1">
      <alignment horizontal="center" vertical="center" shrinkToFit="1"/>
    </xf>
    <xf numFmtId="188" fontId="4" fillId="0" borderId="13" xfId="0" applyNumberFormat="1" applyFont="1" applyBorder="1" applyAlignment="1">
      <alignment horizontal="center" vertical="center" shrinkToFit="1"/>
    </xf>
    <xf numFmtId="188" fontId="4" fillId="0" borderId="14" xfId="0" applyNumberFormat="1" applyFont="1" applyBorder="1" applyAlignment="1">
      <alignment horizontal="center" vertical="center" shrinkToFit="1"/>
    </xf>
    <xf numFmtId="188" fontId="4" fillId="0" borderId="15" xfId="0" applyNumberFormat="1" applyFont="1" applyBorder="1" applyAlignment="1">
      <alignment horizontal="center" vertical="center" shrinkToFit="1"/>
    </xf>
    <xf numFmtId="188" fontId="4" fillId="0" borderId="16" xfId="0" applyNumberFormat="1" applyFont="1" applyBorder="1" applyAlignment="1">
      <alignment horizontal="center" vertical="center" shrinkToFit="1"/>
    </xf>
    <xf numFmtId="189" fontId="4" fillId="0" borderId="16" xfId="0" applyNumberFormat="1" applyFont="1" applyBorder="1" applyAlignment="1">
      <alignment horizontal="center" vertical="center" shrinkToFit="1"/>
    </xf>
    <xf numFmtId="188" fontId="4" fillId="0" borderId="16" xfId="0" applyNumberFormat="1" applyFont="1" applyBorder="1" applyAlignment="1">
      <alignment horizontal="center" vertical="center"/>
    </xf>
    <xf numFmtId="188" fontId="4" fillId="0" borderId="17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vertical="center"/>
    </xf>
    <xf numFmtId="188" fontId="4" fillId="0" borderId="19" xfId="0" applyNumberFormat="1" applyFont="1" applyBorder="1" applyAlignment="1">
      <alignment horizontal="center" vertical="center" shrinkToFit="1"/>
    </xf>
    <xf numFmtId="188" fontId="4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4" fillId="0" borderId="22" xfId="0" applyFont="1" applyBorder="1" applyAlignment="1">
      <alignment vertical="center"/>
    </xf>
    <xf numFmtId="188" fontId="4" fillId="0" borderId="23" xfId="0" applyNumberFormat="1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88" fontId="4" fillId="0" borderId="23" xfId="0" applyNumberFormat="1" applyFont="1" applyBorder="1" applyAlignment="1">
      <alignment horizontal="center" vertical="center" shrinkToFit="1"/>
    </xf>
    <xf numFmtId="188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88" fontId="4" fillId="0" borderId="24" xfId="0" applyNumberFormat="1" applyFont="1" applyBorder="1" applyAlignment="1">
      <alignment horizontal="center" vertical="center"/>
    </xf>
    <xf numFmtId="188" fontId="4" fillId="0" borderId="20" xfId="0" applyNumberFormat="1" applyFont="1" applyBorder="1" applyAlignment="1">
      <alignment horizontal="center" vertical="center"/>
    </xf>
    <xf numFmtId="188" fontId="4" fillId="0" borderId="13" xfId="0" applyNumberFormat="1" applyFont="1" applyBorder="1" applyAlignment="1" applyProtection="1">
      <alignment horizontal="center" vertical="center" shrinkToFit="1"/>
      <protection locked="0"/>
    </xf>
    <xf numFmtId="188" fontId="6" fillId="0" borderId="15" xfId="0" applyNumberFormat="1" applyFont="1" applyBorder="1" applyAlignment="1">
      <alignment horizontal="center" vertical="center" shrinkToFit="1"/>
    </xf>
    <xf numFmtId="188" fontId="6" fillId="0" borderId="25" xfId="0" applyNumberFormat="1" applyFont="1" applyBorder="1" applyAlignment="1">
      <alignment horizontal="center" vertical="center" shrinkToFit="1"/>
    </xf>
    <xf numFmtId="188" fontId="6" fillId="0" borderId="2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8" fontId="6" fillId="0" borderId="26" xfId="0" applyNumberFormat="1" applyFont="1" applyBorder="1" applyAlignment="1">
      <alignment horizontal="center" vertical="center"/>
    </xf>
    <xf numFmtId="189" fontId="4" fillId="0" borderId="20" xfId="0" applyNumberFormat="1" applyFont="1" applyBorder="1" applyAlignment="1">
      <alignment horizontal="center" vertical="center" shrinkToFit="1"/>
    </xf>
    <xf numFmtId="188" fontId="6" fillId="0" borderId="0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 shrinkToFit="1"/>
    </xf>
    <xf numFmtId="188" fontId="4" fillId="0" borderId="0" xfId="0" applyNumberFormat="1" applyFont="1" applyBorder="1" applyAlignment="1">
      <alignment horizontal="center" vertical="center" shrinkToFit="1"/>
    </xf>
    <xf numFmtId="188" fontId="4" fillId="0" borderId="0" xfId="0" applyNumberFormat="1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188" fontId="6" fillId="0" borderId="17" xfId="0" applyNumberFormat="1" applyFont="1" applyBorder="1" applyAlignment="1">
      <alignment horizontal="center" vertical="center"/>
    </xf>
    <xf numFmtId="189" fontId="4" fillId="0" borderId="18" xfId="0" applyNumberFormat="1" applyFont="1" applyBorder="1" applyAlignment="1">
      <alignment horizontal="center" vertical="center" shrinkToFit="1"/>
    </xf>
    <xf numFmtId="188" fontId="4" fillId="0" borderId="18" xfId="0" applyNumberFormat="1" applyFont="1" applyBorder="1" applyAlignment="1">
      <alignment horizontal="center" vertical="center" shrinkToFit="1"/>
    </xf>
    <xf numFmtId="188" fontId="4" fillId="0" borderId="27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/>
    </xf>
    <xf numFmtId="188" fontId="6" fillId="0" borderId="2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9" fontId="13" fillId="0" borderId="16" xfId="0" applyNumberFormat="1" applyFont="1" applyFill="1" applyBorder="1" applyAlignment="1">
      <alignment horizontal="center"/>
    </xf>
    <xf numFmtId="188" fontId="13" fillId="0" borderId="16" xfId="0" applyNumberFormat="1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188" fontId="16" fillId="0" borderId="16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8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 horizontal="center"/>
    </xf>
    <xf numFmtId="188" fontId="15" fillId="0" borderId="0" xfId="0" applyNumberFormat="1" applyFont="1" applyFill="1" applyAlignment="1">
      <alignment horizontal="center"/>
    </xf>
    <xf numFmtId="188" fontId="14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88" fontId="13" fillId="33" borderId="16" xfId="0" applyNumberFormat="1" applyFont="1" applyFill="1" applyBorder="1" applyAlignment="1">
      <alignment horizontal="center"/>
    </xf>
    <xf numFmtId="188" fontId="12" fillId="0" borderId="16" xfId="0" applyNumberFormat="1" applyFont="1" applyFill="1" applyBorder="1" applyAlignment="1">
      <alignment horizontal="center" vertical="center" wrapText="1"/>
    </xf>
    <xf numFmtId="188" fontId="8" fillId="0" borderId="16" xfId="0" applyNumberFormat="1" applyFont="1" applyFill="1" applyBorder="1" applyAlignment="1">
      <alignment horizontal="center" vertical="center" wrapText="1"/>
    </xf>
    <xf numFmtId="188" fontId="12" fillId="0" borderId="16" xfId="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/>
    </xf>
    <xf numFmtId="188" fontId="18" fillId="33" borderId="16" xfId="0" applyNumberFormat="1" applyFont="1" applyFill="1" applyBorder="1" applyAlignment="1">
      <alignment horizontal="center"/>
    </xf>
    <xf numFmtId="188" fontId="18" fillId="0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191" fontId="18" fillId="0" borderId="16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188" fontId="57" fillId="0" borderId="16" xfId="0" applyNumberFormat="1" applyFont="1" applyFill="1" applyBorder="1" applyAlignment="1">
      <alignment horizontal="center"/>
    </xf>
    <xf numFmtId="188" fontId="57" fillId="0" borderId="0" xfId="0" applyNumberFormat="1" applyFont="1" applyFill="1" applyBorder="1" applyAlignment="1">
      <alignment horizontal="center"/>
    </xf>
    <xf numFmtId="189" fontId="13" fillId="34" borderId="16" xfId="0" applyNumberFormat="1" applyFont="1" applyFill="1" applyBorder="1" applyAlignment="1">
      <alignment horizontal="center"/>
    </xf>
    <xf numFmtId="188" fontId="18" fillId="34" borderId="16" xfId="0" applyNumberFormat="1" applyFont="1" applyFill="1" applyBorder="1" applyAlignment="1">
      <alignment horizontal="center"/>
    </xf>
    <xf numFmtId="191" fontId="18" fillId="34" borderId="16" xfId="0" applyNumberFormat="1" applyFont="1" applyFill="1" applyBorder="1" applyAlignment="1">
      <alignment horizontal="center"/>
    </xf>
    <xf numFmtId="188" fontId="57" fillId="34" borderId="16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88" fontId="13" fillId="34" borderId="16" xfId="0" applyNumberFormat="1" applyFont="1" applyFill="1" applyBorder="1" applyAlignment="1">
      <alignment horizontal="center"/>
    </xf>
    <xf numFmtId="188" fontId="58" fillId="33" borderId="16" xfId="0" applyNumberFormat="1" applyFont="1" applyFill="1" applyBorder="1" applyAlignment="1">
      <alignment horizontal="center"/>
    </xf>
    <xf numFmtId="188" fontId="59" fillId="33" borderId="16" xfId="0" applyNumberFormat="1" applyFont="1" applyFill="1" applyBorder="1" applyAlignment="1">
      <alignment horizontal="center"/>
    </xf>
    <xf numFmtId="188" fontId="0" fillId="0" borderId="0" xfId="0" applyNumberFormat="1" applyFont="1" applyFill="1" applyAlignment="1">
      <alignment horizontal="center"/>
    </xf>
    <xf numFmtId="188" fontId="8" fillId="0" borderId="16" xfId="0" applyNumberFormat="1" applyFont="1" applyFill="1" applyBorder="1" applyAlignment="1">
      <alignment horizontal="center" vertical="center" wrapText="1"/>
    </xf>
    <xf numFmtId="188" fontId="17" fillId="0" borderId="16" xfId="0" applyNumberFormat="1" applyFont="1" applyFill="1" applyBorder="1" applyAlignment="1">
      <alignment horizontal="center" vertical="center" wrapText="1"/>
    </xf>
    <xf numFmtId="188" fontId="12" fillId="0" borderId="16" xfId="0" applyNumberFormat="1" applyFont="1" applyFill="1" applyBorder="1" applyAlignment="1">
      <alignment horizontal="center" vertical="center" wrapText="1"/>
    </xf>
    <xf numFmtId="188" fontId="8" fillId="0" borderId="36" xfId="0" applyNumberFormat="1" applyFont="1" applyFill="1" applyBorder="1" applyAlignment="1">
      <alignment horizontal="center" vertical="top"/>
    </xf>
    <xf numFmtId="188" fontId="8" fillId="0" borderId="37" xfId="0" applyNumberFormat="1" applyFont="1" applyFill="1" applyBorder="1" applyAlignment="1">
      <alignment horizontal="center" vertical="top"/>
    </xf>
    <xf numFmtId="188" fontId="8" fillId="0" borderId="38" xfId="0" applyNumberFormat="1" applyFont="1" applyFill="1" applyBorder="1" applyAlignment="1">
      <alignment horizontal="center" vertical="top"/>
    </xf>
    <xf numFmtId="189" fontId="14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12" fillId="0" borderId="16" xfId="0" applyNumberFormat="1" applyFont="1" applyFill="1" applyBorder="1" applyAlignment="1">
      <alignment horizontal="center" vertical="center" wrapText="1"/>
    </xf>
    <xf numFmtId="188" fontId="60" fillId="0" borderId="16" xfId="0" applyNumberFormat="1" applyFont="1" applyFill="1" applyBorder="1" applyAlignment="1">
      <alignment horizontal="center" vertical="center" wrapText="1"/>
    </xf>
    <xf numFmtId="188" fontId="4" fillId="0" borderId="39" xfId="0" applyNumberFormat="1" applyFont="1" applyBorder="1" applyAlignment="1">
      <alignment horizontal="center" vertical="center"/>
    </xf>
    <xf numFmtId="188" fontId="4" fillId="0" borderId="40" xfId="0" applyNumberFormat="1" applyFont="1" applyBorder="1" applyAlignment="1">
      <alignment horizontal="center" vertical="center"/>
    </xf>
    <xf numFmtId="188" fontId="4" fillId="0" borderId="41" xfId="0" applyNumberFormat="1" applyFont="1" applyBorder="1" applyAlignment="1">
      <alignment horizontal="center" vertical="center"/>
    </xf>
    <xf numFmtId="188" fontId="4" fillId="0" borderId="4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7"/>
  <sheetViews>
    <sheetView tabSelected="1" zoomScale="90" zoomScaleNormal="90" workbookViewId="0" topLeftCell="A9">
      <pane ySplit="1635" topLeftCell="A1" activePane="bottomLeft" state="split"/>
      <selection pane="topLeft" activeCell="K10" sqref="K10"/>
      <selection pane="bottomLeft" activeCell="O4" sqref="O4"/>
    </sheetView>
  </sheetViews>
  <sheetFormatPr defaultColWidth="7.375" defaultRowHeight="14.25"/>
  <cols>
    <col min="1" max="1" width="7.375" style="62" customWidth="1"/>
    <col min="2" max="2" width="14.875" style="62" customWidth="1"/>
    <col min="3" max="3" width="10.375" style="62" customWidth="1"/>
    <col min="4" max="4" width="10.00390625" style="63" customWidth="1"/>
    <col min="5" max="5" width="9.625" style="63" customWidth="1"/>
    <col min="6" max="9" width="7.375" style="62" customWidth="1"/>
    <col min="10" max="10" width="9.125" style="95" customWidth="1"/>
    <col min="11" max="11" width="7.375" style="63" customWidth="1"/>
    <col min="12" max="12" width="9.25390625" style="63" customWidth="1"/>
    <col min="13" max="13" width="7.375" style="63" customWidth="1"/>
    <col min="14" max="14" width="9.75390625" style="63" customWidth="1"/>
    <col min="15" max="15" width="10.625" style="63" customWidth="1"/>
    <col min="16" max="16" width="7.375" style="62" customWidth="1"/>
    <col min="17" max="17" width="11.625" style="63" customWidth="1"/>
    <col min="18" max="18" width="9.00390625" style="63" customWidth="1"/>
    <col min="19" max="19" width="10.25390625" style="64" customWidth="1"/>
    <col min="20" max="16384" width="7.375" style="63" customWidth="1"/>
  </cols>
  <sheetData>
    <row r="1" ht="3" customHeight="1"/>
    <row r="2" spans="1:20" ht="24" customHeight="1">
      <c r="A2" s="115" t="s">
        <v>117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24" customHeight="1">
      <c r="A3" s="65"/>
      <c r="B3" s="66" t="s">
        <v>121</v>
      </c>
      <c r="C3" s="66"/>
      <c r="D3" s="66"/>
      <c r="E3" s="66"/>
      <c r="F3" s="66"/>
      <c r="G3" s="66"/>
      <c r="H3" s="66"/>
      <c r="I3" s="66"/>
      <c r="J3" s="9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0" ht="24" customHeight="1">
      <c r="B4" s="66"/>
      <c r="C4" s="66" t="s">
        <v>122</v>
      </c>
      <c r="D4" s="66" t="s">
        <v>123</v>
      </c>
      <c r="E4" s="66"/>
      <c r="F4" s="66" t="s">
        <v>120</v>
      </c>
      <c r="G4" s="66"/>
      <c r="H4" s="66"/>
      <c r="I4" s="66"/>
      <c r="J4" s="9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2:20" ht="24" customHeight="1">
      <c r="B5" s="66" t="s">
        <v>124</v>
      </c>
      <c r="C5" s="93">
        <v>87.7</v>
      </c>
      <c r="D5" s="93">
        <v>71.1</v>
      </c>
      <c r="E5" s="93"/>
      <c r="F5" s="66">
        <f>C5-D5</f>
        <v>16.60000000000001</v>
      </c>
      <c r="G5" s="66"/>
      <c r="H5" s="66"/>
      <c r="I5" s="66"/>
      <c r="J5" s="9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 ht="24" customHeight="1">
      <c r="B6" s="66" t="s">
        <v>125</v>
      </c>
      <c r="C6" s="66">
        <f>C5*1.8+32</f>
        <v>189.86</v>
      </c>
      <c r="D6" s="66">
        <f>D5*1.8+32</f>
        <v>159.98</v>
      </c>
      <c r="E6" s="66"/>
      <c r="F6" s="66">
        <f>C6-D6</f>
        <v>29.880000000000024</v>
      </c>
      <c r="G6" s="66"/>
      <c r="H6" s="66"/>
      <c r="I6" s="66"/>
      <c r="J6" s="9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15.75" customHeight="1">
      <c r="A7" s="67"/>
      <c r="B7" s="68"/>
      <c r="C7" s="68"/>
      <c r="D7" s="66"/>
      <c r="E7" s="66"/>
      <c r="F7" s="68"/>
      <c r="G7" s="68"/>
      <c r="H7" s="68"/>
      <c r="I7" s="68"/>
      <c r="J7" s="96"/>
      <c r="K7" s="66"/>
      <c r="L7" s="66"/>
      <c r="M7" s="66"/>
      <c r="N7" s="66"/>
      <c r="O7" s="66"/>
      <c r="P7" s="68"/>
      <c r="Q7" s="69"/>
      <c r="R7" s="69"/>
      <c r="S7" s="70"/>
      <c r="T7" s="66"/>
    </row>
    <row r="8" spans="1:20" ht="17.25" customHeight="1">
      <c r="A8" s="117" t="s">
        <v>108</v>
      </c>
      <c r="B8" s="111" t="s">
        <v>109</v>
      </c>
      <c r="C8" s="112"/>
      <c r="D8" s="112"/>
      <c r="E8" s="113"/>
      <c r="F8" s="110" t="s">
        <v>110</v>
      </c>
      <c r="G8" s="87"/>
      <c r="H8" s="110" t="s">
        <v>111</v>
      </c>
      <c r="I8" s="87"/>
      <c r="J8" s="118" t="s">
        <v>113</v>
      </c>
      <c r="K8" s="88"/>
      <c r="L8" s="108" t="s">
        <v>112</v>
      </c>
      <c r="M8" s="88"/>
      <c r="N8" s="108" t="s">
        <v>114</v>
      </c>
      <c r="O8" s="108" t="s">
        <v>115</v>
      </c>
      <c r="P8" s="110" t="s">
        <v>116</v>
      </c>
      <c r="Q8" s="108" t="s">
        <v>135</v>
      </c>
      <c r="R8" s="88"/>
      <c r="S8" s="109" t="s">
        <v>126</v>
      </c>
      <c r="T8" s="88"/>
    </row>
    <row r="9" spans="1:20" ht="43.5" customHeight="1">
      <c r="A9" s="117"/>
      <c r="B9" s="89" t="s">
        <v>128</v>
      </c>
      <c r="C9" s="89" t="s">
        <v>127</v>
      </c>
      <c r="D9" s="90" t="s">
        <v>129</v>
      </c>
      <c r="E9" s="90" t="s">
        <v>130</v>
      </c>
      <c r="F9" s="110"/>
      <c r="G9" s="87" t="s">
        <v>131</v>
      </c>
      <c r="H9" s="110"/>
      <c r="I9" s="87" t="s">
        <v>132</v>
      </c>
      <c r="J9" s="118"/>
      <c r="K9" s="88" t="s">
        <v>138</v>
      </c>
      <c r="L9" s="108"/>
      <c r="M9" s="88" t="s">
        <v>133</v>
      </c>
      <c r="N9" s="108"/>
      <c r="O9" s="108"/>
      <c r="P9" s="110"/>
      <c r="Q9" s="108"/>
      <c r="R9" s="88" t="s">
        <v>133</v>
      </c>
      <c r="S9" s="109"/>
      <c r="T9" s="88" t="s">
        <v>134</v>
      </c>
    </row>
    <row r="10" spans="1:21" ht="19.5" customHeight="1">
      <c r="A10" s="71">
        <v>1</v>
      </c>
      <c r="B10" s="91">
        <f>B11+5440+2720*2</f>
        <v>234792</v>
      </c>
      <c r="C10" s="92">
        <f aca="true" t="shared" si="0" ref="C10:C33">B10/293</f>
        <v>801.3378839590443</v>
      </c>
      <c r="D10" s="92">
        <f aca="true" t="shared" si="1" ref="D10:D33">B10*0.83/$F$5/3600</f>
        <v>3.260999999999998</v>
      </c>
      <c r="E10" s="92">
        <f aca="true" t="shared" si="2" ref="E10:E33">D10*15.85</f>
        <v>51.686849999999964</v>
      </c>
      <c r="F10" s="91">
        <v>70</v>
      </c>
      <c r="G10" s="94">
        <f aca="true" t="shared" si="3" ref="G10:G33">F10/25</f>
        <v>2.8</v>
      </c>
      <c r="H10" s="91">
        <v>1</v>
      </c>
      <c r="I10" s="94">
        <f aca="true" t="shared" si="4" ref="I10:I33">H10*3.28</f>
        <v>3.28</v>
      </c>
      <c r="J10" s="97">
        <f aca="true" t="shared" si="5" ref="J10:J33">6.9938*10^-12*(0.2/F10+0.0904836*F10/(0.86*B10/25))^0.25*(0.86*B10/25)^2/(F10/1000)^5</f>
        <v>66.68403052918657</v>
      </c>
      <c r="K10" s="92">
        <f aca="true" t="shared" si="6" ref="K10:K33">J10*8.33/249/3.28</f>
        <v>0.6801326945686701</v>
      </c>
      <c r="L10" s="92">
        <f aca="true" t="shared" si="7" ref="L10:L33">H10*J10</f>
        <v>66.68403052918657</v>
      </c>
      <c r="M10" s="92">
        <f aca="true" t="shared" si="8" ref="M10:M33">L10/249</f>
        <v>0.26780735152283763</v>
      </c>
      <c r="N10" s="92">
        <f aca="true" t="shared" si="9" ref="N10:N33">D10*4000/(3.1415926*(F10^2))</f>
        <v>0.8473539237158022</v>
      </c>
      <c r="O10" s="92">
        <f aca="true" t="shared" si="10" ref="O10:O33">N10^2*983/2</f>
        <v>352.90126230597195</v>
      </c>
      <c r="P10" s="91"/>
      <c r="Q10" s="92">
        <f aca="true" t="shared" si="11" ref="Q10:Q33">O10*P10</f>
        <v>0</v>
      </c>
      <c r="R10" s="92">
        <f aca="true" t="shared" si="12" ref="R10:R33">Q10/249</f>
        <v>0</v>
      </c>
      <c r="S10" s="92">
        <f aca="true" t="shared" si="13" ref="S10:S33">L10+Q10</f>
        <v>66.68403052918657</v>
      </c>
      <c r="T10" s="92">
        <f aca="true" t="shared" si="14" ref="T10:T33">S10/249</f>
        <v>0.26780735152283763</v>
      </c>
      <c r="U10" s="85" t="s">
        <v>139</v>
      </c>
    </row>
    <row r="11" spans="1:20" ht="19.5" customHeight="1">
      <c r="A11" s="71">
        <v>2</v>
      </c>
      <c r="B11" s="91">
        <f>B12+1625</f>
        <v>223912</v>
      </c>
      <c r="C11" s="92">
        <f t="shared" si="0"/>
        <v>764.2047781569966</v>
      </c>
      <c r="D11" s="92">
        <f t="shared" si="1"/>
        <v>3.109888888888887</v>
      </c>
      <c r="E11" s="92">
        <f t="shared" si="2"/>
        <v>49.29173888888886</v>
      </c>
      <c r="F11" s="91">
        <v>70</v>
      </c>
      <c r="G11" s="94">
        <f t="shared" si="3"/>
        <v>2.8</v>
      </c>
      <c r="H11" s="91"/>
      <c r="I11" s="94">
        <f t="shared" si="4"/>
        <v>0</v>
      </c>
      <c r="J11" s="97">
        <f t="shared" si="5"/>
        <v>60.805133845002246</v>
      </c>
      <c r="K11" s="92">
        <f t="shared" si="6"/>
        <v>0.6201718641993201</v>
      </c>
      <c r="L11" s="92">
        <f t="shared" si="7"/>
        <v>0</v>
      </c>
      <c r="M11" s="92">
        <f t="shared" si="8"/>
        <v>0</v>
      </c>
      <c r="N11" s="92">
        <f t="shared" si="9"/>
        <v>0.808088485838754</v>
      </c>
      <c r="O11" s="92">
        <f t="shared" si="10"/>
        <v>320.95294096455115</v>
      </c>
      <c r="P11" s="91"/>
      <c r="Q11" s="92">
        <f t="shared" si="11"/>
        <v>0</v>
      </c>
      <c r="R11" s="92">
        <f t="shared" si="12"/>
        <v>0</v>
      </c>
      <c r="S11" s="92">
        <f t="shared" si="13"/>
        <v>0</v>
      </c>
      <c r="T11" s="92">
        <f t="shared" si="14"/>
        <v>0</v>
      </c>
    </row>
    <row r="12" spans="1:20" ht="19.5" customHeight="1">
      <c r="A12" s="71">
        <v>3</v>
      </c>
      <c r="B12" s="91">
        <f>B13+6405</f>
        <v>222287</v>
      </c>
      <c r="C12" s="92">
        <f t="shared" si="0"/>
        <v>758.6587030716723</v>
      </c>
      <c r="D12" s="92">
        <f t="shared" si="1"/>
        <v>3.0873194444444425</v>
      </c>
      <c r="E12" s="92">
        <f t="shared" si="2"/>
        <v>48.93401319444441</v>
      </c>
      <c r="F12" s="91">
        <v>70</v>
      </c>
      <c r="G12" s="94">
        <f t="shared" si="3"/>
        <v>2.8</v>
      </c>
      <c r="H12" s="91"/>
      <c r="I12" s="94">
        <f t="shared" si="4"/>
        <v>0</v>
      </c>
      <c r="J12" s="97">
        <f t="shared" si="5"/>
        <v>59.95023344171275</v>
      </c>
      <c r="K12" s="92">
        <f t="shared" si="6"/>
        <v>0.6114524495169302</v>
      </c>
      <c r="L12" s="92">
        <f t="shared" si="7"/>
        <v>0</v>
      </c>
      <c r="M12" s="92">
        <f t="shared" si="8"/>
        <v>0</v>
      </c>
      <c r="N12" s="92">
        <f t="shared" si="9"/>
        <v>0.8022239328470072</v>
      </c>
      <c r="O12" s="92">
        <f t="shared" si="10"/>
        <v>316.3113316895833</v>
      </c>
      <c r="P12" s="91"/>
      <c r="Q12" s="92">
        <f t="shared" si="11"/>
        <v>0</v>
      </c>
      <c r="R12" s="92">
        <f t="shared" si="12"/>
        <v>0</v>
      </c>
      <c r="S12" s="92">
        <f t="shared" si="13"/>
        <v>0</v>
      </c>
      <c r="T12" s="92">
        <f t="shared" si="14"/>
        <v>0</v>
      </c>
    </row>
    <row r="13" spans="1:20" ht="19.5" customHeight="1">
      <c r="A13" s="71">
        <v>4</v>
      </c>
      <c r="B13" s="91">
        <f>B14+9345</f>
        <v>215882</v>
      </c>
      <c r="C13" s="92">
        <f t="shared" si="0"/>
        <v>736.7986348122867</v>
      </c>
      <c r="D13" s="92">
        <f t="shared" si="1"/>
        <v>2.9983611111111097</v>
      </c>
      <c r="E13" s="92">
        <f t="shared" si="2"/>
        <v>47.52402361111109</v>
      </c>
      <c r="F13" s="91">
        <v>70</v>
      </c>
      <c r="G13" s="94">
        <f t="shared" si="3"/>
        <v>2.8</v>
      </c>
      <c r="H13" s="91"/>
      <c r="I13" s="94">
        <f t="shared" si="4"/>
        <v>0</v>
      </c>
      <c r="J13" s="97">
        <f t="shared" si="5"/>
        <v>56.639211570555744</v>
      </c>
      <c r="K13" s="92">
        <f t="shared" si="6"/>
        <v>0.5776822318331</v>
      </c>
      <c r="L13" s="92">
        <f t="shared" si="7"/>
        <v>0</v>
      </c>
      <c r="M13" s="92">
        <f t="shared" si="8"/>
        <v>0</v>
      </c>
      <c r="N13" s="92">
        <f t="shared" si="9"/>
        <v>0.7791085716703074</v>
      </c>
      <c r="O13" s="92">
        <f t="shared" si="10"/>
        <v>298.3454968102471</v>
      </c>
      <c r="P13" s="91"/>
      <c r="Q13" s="92">
        <f t="shared" si="11"/>
        <v>0</v>
      </c>
      <c r="R13" s="92">
        <f t="shared" si="12"/>
        <v>0</v>
      </c>
      <c r="S13" s="92">
        <f t="shared" si="13"/>
        <v>0</v>
      </c>
      <c r="T13" s="92">
        <f t="shared" si="14"/>
        <v>0</v>
      </c>
    </row>
    <row r="14" spans="1:20" ht="19.5" customHeight="1">
      <c r="A14" s="71">
        <v>5</v>
      </c>
      <c r="B14" s="91">
        <f>B15+5440</f>
        <v>206537</v>
      </c>
      <c r="C14" s="92">
        <f t="shared" si="0"/>
        <v>704.9044368600682</v>
      </c>
      <c r="D14" s="92">
        <f t="shared" si="1"/>
        <v>2.868569444444443</v>
      </c>
      <c r="E14" s="92">
        <f t="shared" si="2"/>
        <v>45.46682569444442</v>
      </c>
      <c r="F14" s="91">
        <v>70</v>
      </c>
      <c r="G14" s="94">
        <f t="shared" si="3"/>
        <v>2.8</v>
      </c>
      <c r="H14" s="91"/>
      <c r="I14" s="94">
        <f t="shared" si="4"/>
        <v>0</v>
      </c>
      <c r="J14" s="97">
        <f t="shared" si="5"/>
        <v>51.97608452605617</v>
      </c>
      <c r="K14" s="92">
        <f t="shared" si="6"/>
        <v>0.5301214419899696</v>
      </c>
      <c r="L14" s="92">
        <f t="shared" si="7"/>
        <v>0</v>
      </c>
      <c r="M14" s="92">
        <f t="shared" si="8"/>
        <v>0</v>
      </c>
      <c r="N14" s="92">
        <f t="shared" si="9"/>
        <v>0.7453828807731552</v>
      </c>
      <c r="O14" s="92">
        <f t="shared" si="10"/>
        <v>273.0752565437715</v>
      </c>
      <c r="P14" s="91"/>
      <c r="Q14" s="92">
        <f t="shared" si="11"/>
        <v>0</v>
      </c>
      <c r="R14" s="92">
        <f t="shared" si="12"/>
        <v>0</v>
      </c>
      <c r="S14" s="92">
        <f t="shared" si="13"/>
        <v>0</v>
      </c>
      <c r="T14" s="92">
        <f t="shared" si="14"/>
        <v>0</v>
      </c>
    </row>
    <row r="15" spans="1:20" ht="19.5" customHeight="1">
      <c r="A15" s="71">
        <v>6</v>
      </c>
      <c r="B15" s="91">
        <f>B16+4700</f>
        <v>201097</v>
      </c>
      <c r="C15" s="92">
        <f t="shared" si="0"/>
        <v>686.3378839590443</v>
      </c>
      <c r="D15" s="92">
        <f t="shared" si="1"/>
        <v>2.793013888888887</v>
      </c>
      <c r="E15" s="92">
        <f t="shared" si="2"/>
        <v>44.26927013888886</v>
      </c>
      <c r="F15" s="91">
        <v>70</v>
      </c>
      <c r="G15" s="94">
        <f t="shared" si="3"/>
        <v>2.8</v>
      </c>
      <c r="H15" s="91"/>
      <c r="I15" s="94">
        <f t="shared" si="4"/>
        <v>0</v>
      </c>
      <c r="J15" s="97">
        <f t="shared" si="5"/>
        <v>49.35319386130938</v>
      </c>
      <c r="K15" s="92">
        <f t="shared" si="6"/>
        <v>0.503369704261812</v>
      </c>
      <c r="L15" s="92">
        <f t="shared" si="7"/>
        <v>0</v>
      </c>
      <c r="M15" s="92">
        <f t="shared" si="8"/>
        <v>0</v>
      </c>
      <c r="N15" s="92">
        <f t="shared" si="9"/>
        <v>0.725750161834631</v>
      </c>
      <c r="O15" s="92">
        <f t="shared" si="10"/>
        <v>258.8795856735711</v>
      </c>
      <c r="P15" s="91"/>
      <c r="Q15" s="92">
        <f t="shared" si="11"/>
        <v>0</v>
      </c>
      <c r="R15" s="92">
        <f t="shared" si="12"/>
        <v>0</v>
      </c>
      <c r="S15" s="92">
        <f t="shared" si="13"/>
        <v>0</v>
      </c>
      <c r="T15" s="92">
        <f t="shared" si="14"/>
        <v>0</v>
      </c>
    </row>
    <row r="16" spans="1:20" ht="19.5" customHeight="1">
      <c r="A16" s="71">
        <v>7</v>
      </c>
      <c r="B16" s="91">
        <f>B17+9740</f>
        <v>196397</v>
      </c>
      <c r="C16" s="92">
        <f t="shared" si="0"/>
        <v>670.2969283276451</v>
      </c>
      <c r="D16" s="92">
        <f t="shared" si="1"/>
        <v>2.7277361111111094</v>
      </c>
      <c r="E16" s="92">
        <f t="shared" si="2"/>
        <v>43.234617361111084</v>
      </c>
      <c r="F16" s="91">
        <v>70</v>
      </c>
      <c r="G16" s="94">
        <f t="shared" si="3"/>
        <v>2.8</v>
      </c>
      <c r="H16" s="91"/>
      <c r="I16" s="94">
        <f t="shared" si="4"/>
        <v>0</v>
      </c>
      <c r="J16" s="97">
        <f t="shared" si="5"/>
        <v>47.141405454796804</v>
      </c>
      <c r="K16" s="92">
        <f t="shared" si="6"/>
        <v>0.4808109357410831</v>
      </c>
      <c r="L16" s="92">
        <f t="shared" si="7"/>
        <v>0</v>
      </c>
      <c r="M16" s="92">
        <f t="shared" si="8"/>
        <v>0</v>
      </c>
      <c r="N16" s="92">
        <f t="shared" si="9"/>
        <v>0.708788070104656</v>
      </c>
      <c r="O16" s="92">
        <f t="shared" si="10"/>
        <v>246.92002967059864</v>
      </c>
      <c r="P16" s="91"/>
      <c r="Q16" s="92">
        <f t="shared" si="11"/>
        <v>0</v>
      </c>
      <c r="R16" s="92">
        <f t="shared" si="12"/>
        <v>0</v>
      </c>
      <c r="S16" s="92">
        <f t="shared" si="13"/>
        <v>0</v>
      </c>
      <c r="T16" s="92">
        <f t="shared" si="14"/>
        <v>0</v>
      </c>
    </row>
    <row r="17" spans="1:20" ht="19.5" customHeight="1">
      <c r="A17" s="71">
        <v>8</v>
      </c>
      <c r="B17" s="91">
        <f>B18+5400</f>
        <v>186657</v>
      </c>
      <c r="C17" s="92">
        <f t="shared" si="0"/>
        <v>637.0546075085324</v>
      </c>
      <c r="D17" s="92">
        <f t="shared" si="1"/>
        <v>2.5924583333333318</v>
      </c>
      <c r="E17" s="92">
        <f t="shared" si="2"/>
        <v>41.09046458333331</v>
      </c>
      <c r="F17" s="91">
        <v>70</v>
      </c>
      <c r="G17" s="94">
        <f t="shared" si="3"/>
        <v>2.8</v>
      </c>
      <c r="H17" s="91"/>
      <c r="I17" s="94">
        <f t="shared" si="4"/>
        <v>0</v>
      </c>
      <c r="J17" s="97">
        <f t="shared" si="5"/>
        <v>42.71812346042364</v>
      </c>
      <c r="K17" s="92">
        <f t="shared" si="6"/>
        <v>0.435696405653503</v>
      </c>
      <c r="L17" s="92">
        <f t="shared" si="7"/>
        <v>0</v>
      </c>
      <c r="M17" s="92">
        <f t="shared" si="8"/>
        <v>0</v>
      </c>
      <c r="N17" s="92">
        <f t="shared" si="9"/>
        <v>0.6736368417110484</v>
      </c>
      <c r="O17" s="92">
        <f t="shared" si="10"/>
        <v>223.03611120187935</v>
      </c>
      <c r="P17" s="91"/>
      <c r="Q17" s="92">
        <f t="shared" si="11"/>
        <v>0</v>
      </c>
      <c r="R17" s="92">
        <f t="shared" si="12"/>
        <v>0</v>
      </c>
      <c r="S17" s="92">
        <f t="shared" si="13"/>
        <v>0</v>
      </c>
      <c r="T17" s="92">
        <f t="shared" si="14"/>
        <v>0</v>
      </c>
    </row>
    <row r="18" spans="1:20" ht="19.5" customHeight="1">
      <c r="A18" s="71">
        <v>9</v>
      </c>
      <c r="B18" s="91">
        <f>B19+6305</f>
        <v>181257</v>
      </c>
      <c r="C18" s="92">
        <f t="shared" si="0"/>
        <v>618.6245733788396</v>
      </c>
      <c r="D18" s="92">
        <f t="shared" si="1"/>
        <v>2.517458333333332</v>
      </c>
      <c r="E18" s="92">
        <f t="shared" si="2"/>
        <v>39.90171458333331</v>
      </c>
      <c r="F18" s="91">
        <v>70</v>
      </c>
      <c r="G18" s="94">
        <f t="shared" si="3"/>
        <v>2.8</v>
      </c>
      <c r="H18" s="91"/>
      <c r="I18" s="94">
        <f t="shared" si="4"/>
        <v>0</v>
      </c>
      <c r="J18" s="97">
        <f t="shared" si="5"/>
        <v>40.358978529848905</v>
      </c>
      <c r="K18" s="92">
        <f t="shared" si="6"/>
        <v>0.4116346987384188</v>
      </c>
      <c r="L18" s="92">
        <f t="shared" si="7"/>
        <v>0</v>
      </c>
      <c r="M18" s="92">
        <f t="shared" si="8"/>
        <v>0</v>
      </c>
      <c r="N18" s="92">
        <f t="shared" si="9"/>
        <v>0.6541484810000135</v>
      </c>
      <c r="O18" s="92">
        <f t="shared" si="10"/>
        <v>210.3178805981582</v>
      </c>
      <c r="P18" s="91"/>
      <c r="Q18" s="92">
        <f t="shared" si="11"/>
        <v>0</v>
      </c>
      <c r="R18" s="92">
        <f t="shared" si="12"/>
        <v>0</v>
      </c>
      <c r="S18" s="92">
        <f t="shared" si="13"/>
        <v>0</v>
      </c>
      <c r="T18" s="92">
        <f t="shared" si="14"/>
        <v>0</v>
      </c>
    </row>
    <row r="19" spans="1:20" ht="19.5" customHeight="1">
      <c r="A19" s="71">
        <v>10</v>
      </c>
      <c r="B19" s="91">
        <f>B20+1840</f>
        <v>174952</v>
      </c>
      <c r="C19" s="92">
        <f t="shared" si="0"/>
        <v>597.1058020477816</v>
      </c>
      <c r="D19" s="92">
        <f t="shared" si="1"/>
        <v>2.4298888888888874</v>
      </c>
      <c r="E19" s="92">
        <f t="shared" si="2"/>
        <v>38.51373888888887</v>
      </c>
      <c r="F19" s="91">
        <v>70</v>
      </c>
      <c r="G19" s="94">
        <f t="shared" si="3"/>
        <v>2.8</v>
      </c>
      <c r="H19" s="91"/>
      <c r="I19" s="94">
        <f t="shared" si="4"/>
        <v>0</v>
      </c>
      <c r="J19" s="97">
        <f t="shared" si="5"/>
        <v>37.68858787524551</v>
      </c>
      <c r="K19" s="92">
        <f t="shared" si="6"/>
        <v>0.38439849275246735</v>
      </c>
      <c r="L19" s="92">
        <f t="shared" si="7"/>
        <v>0</v>
      </c>
      <c r="M19" s="92">
        <f t="shared" si="8"/>
        <v>0</v>
      </c>
      <c r="N19" s="92">
        <f t="shared" si="9"/>
        <v>0.6313940153920364</v>
      </c>
      <c r="O19" s="92">
        <f t="shared" si="10"/>
        <v>195.9406049137201</v>
      </c>
      <c r="P19" s="91"/>
      <c r="Q19" s="92">
        <f t="shared" si="11"/>
        <v>0</v>
      </c>
      <c r="R19" s="92">
        <f t="shared" si="12"/>
        <v>0</v>
      </c>
      <c r="S19" s="92">
        <f t="shared" si="13"/>
        <v>0</v>
      </c>
      <c r="T19" s="92">
        <f t="shared" si="14"/>
        <v>0</v>
      </c>
    </row>
    <row r="20" spans="1:20" ht="19.5" customHeight="1">
      <c r="A20" s="71">
        <v>11</v>
      </c>
      <c r="B20" s="91">
        <f>B21+5440</f>
        <v>173112</v>
      </c>
      <c r="C20" s="92">
        <f t="shared" si="0"/>
        <v>590.8259385665528</v>
      </c>
      <c r="D20" s="92">
        <f t="shared" si="1"/>
        <v>2.404333333333332</v>
      </c>
      <c r="E20" s="92">
        <f t="shared" si="2"/>
        <v>38.10868333333331</v>
      </c>
      <c r="F20" s="91">
        <v>70</v>
      </c>
      <c r="G20" s="94">
        <f t="shared" si="3"/>
        <v>2.8</v>
      </c>
      <c r="H20" s="91"/>
      <c r="I20" s="94">
        <f t="shared" si="4"/>
        <v>0</v>
      </c>
      <c r="J20" s="97">
        <f t="shared" si="5"/>
        <v>36.92636860459359</v>
      </c>
      <c r="K20" s="92">
        <f t="shared" si="6"/>
        <v>0.37662436389002923</v>
      </c>
      <c r="L20" s="92">
        <f t="shared" si="7"/>
        <v>0</v>
      </c>
      <c r="M20" s="92">
        <f t="shared" si="8"/>
        <v>0</v>
      </c>
      <c r="N20" s="92">
        <f t="shared" si="9"/>
        <v>0.6247535369275357</v>
      </c>
      <c r="O20" s="92">
        <f t="shared" si="10"/>
        <v>191.84079660555335</v>
      </c>
      <c r="P20" s="91"/>
      <c r="Q20" s="92">
        <f t="shared" si="11"/>
        <v>0</v>
      </c>
      <c r="R20" s="92">
        <f t="shared" si="12"/>
        <v>0</v>
      </c>
      <c r="S20" s="92">
        <f t="shared" si="13"/>
        <v>0</v>
      </c>
      <c r="T20" s="92">
        <f t="shared" si="14"/>
        <v>0</v>
      </c>
    </row>
    <row r="21" spans="1:20" ht="19.5" customHeight="1">
      <c r="A21" s="71">
        <v>12</v>
      </c>
      <c r="B21" s="91">
        <f>B22+4360</f>
        <v>167672</v>
      </c>
      <c r="C21" s="92">
        <f t="shared" si="0"/>
        <v>572.2593856655291</v>
      </c>
      <c r="D21" s="92">
        <f t="shared" si="1"/>
        <v>2.3287777777777765</v>
      </c>
      <c r="E21" s="92">
        <f t="shared" si="2"/>
        <v>36.91112777777776</v>
      </c>
      <c r="F21" s="91">
        <v>70</v>
      </c>
      <c r="G21" s="94">
        <f t="shared" si="3"/>
        <v>2.8</v>
      </c>
      <c r="H21" s="91"/>
      <c r="I21" s="94">
        <f t="shared" si="4"/>
        <v>0</v>
      </c>
      <c r="J21" s="97">
        <f t="shared" si="5"/>
        <v>34.71800488682049</v>
      </c>
      <c r="K21" s="92">
        <f t="shared" si="6"/>
        <v>0.3541005249133298</v>
      </c>
      <c r="L21" s="92">
        <f t="shared" si="7"/>
        <v>0</v>
      </c>
      <c r="M21" s="92">
        <f t="shared" si="8"/>
        <v>0</v>
      </c>
      <c r="N21" s="92">
        <f t="shared" si="9"/>
        <v>0.6051208179890115</v>
      </c>
      <c r="O21" s="92">
        <f t="shared" si="10"/>
        <v>179.97314694475384</v>
      </c>
      <c r="P21" s="91"/>
      <c r="Q21" s="92">
        <f t="shared" si="11"/>
        <v>0</v>
      </c>
      <c r="R21" s="92">
        <f t="shared" si="12"/>
        <v>0</v>
      </c>
      <c r="S21" s="92">
        <f t="shared" si="13"/>
        <v>0</v>
      </c>
      <c r="T21" s="92">
        <f t="shared" si="14"/>
        <v>0</v>
      </c>
    </row>
    <row r="22" spans="1:20" ht="19.5" customHeight="1">
      <c r="A22" s="71">
        <v>13</v>
      </c>
      <c r="B22" s="91">
        <f>B23+5400</f>
        <v>163312</v>
      </c>
      <c r="C22" s="92">
        <f t="shared" si="0"/>
        <v>557.3788395904437</v>
      </c>
      <c r="D22" s="92">
        <f t="shared" si="1"/>
        <v>2.268222222222221</v>
      </c>
      <c r="E22" s="92">
        <f t="shared" si="2"/>
        <v>35.951322222222196</v>
      </c>
      <c r="F22" s="91">
        <v>70</v>
      </c>
      <c r="G22" s="94">
        <f t="shared" si="3"/>
        <v>2.8</v>
      </c>
      <c r="H22" s="91"/>
      <c r="I22" s="94">
        <f t="shared" si="4"/>
        <v>0</v>
      </c>
      <c r="J22" s="97">
        <f t="shared" si="5"/>
        <v>32.996787350203384</v>
      </c>
      <c r="K22" s="92">
        <f t="shared" si="6"/>
        <v>0.33654525250660466</v>
      </c>
      <c r="L22" s="92">
        <f t="shared" si="7"/>
        <v>0</v>
      </c>
      <c r="M22" s="92">
        <f t="shared" si="8"/>
        <v>0</v>
      </c>
      <c r="N22" s="92">
        <f t="shared" si="9"/>
        <v>0.5893857711926943</v>
      </c>
      <c r="O22" s="92">
        <f t="shared" si="10"/>
        <v>170.73510115028603</v>
      </c>
      <c r="P22" s="91"/>
      <c r="Q22" s="92">
        <f t="shared" si="11"/>
        <v>0</v>
      </c>
      <c r="R22" s="92">
        <f t="shared" si="12"/>
        <v>0</v>
      </c>
      <c r="S22" s="92">
        <f t="shared" si="13"/>
        <v>0</v>
      </c>
      <c r="T22" s="92">
        <f t="shared" si="14"/>
        <v>0</v>
      </c>
    </row>
    <row r="23" spans="1:20" ht="19.5" customHeight="1">
      <c r="A23" s="71">
        <v>14</v>
      </c>
      <c r="B23" s="91">
        <f>B24+4135</f>
        <v>157912</v>
      </c>
      <c r="C23" s="92">
        <f t="shared" si="0"/>
        <v>538.9488054607508</v>
      </c>
      <c r="D23" s="92">
        <f t="shared" si="1"/>
        <v>2.193222222222221</v>
      </c>
      <c r="E23" s="92">
        <f t="shared" si="2"/>
        <v>34.762572222222204</v>
      </c>
      <c r="F23" s="91">
        <v>70</v>
      </c>
      <c r="G23" s="94">
        <f t="shared" si="3"/>
        <v>2.8</v>
      </c>
      <c r="H23" s="91"/>
      <c r="I23" s="94">
        <f t="shared" si="4"/>
        <v>0</v>
      </c>
      <c r="J23" s="97">
        <f t="shared" si="5"/>
        <v>30.925107641072483</v>
      </c>
      <c r="K23" s="92">
        <f t="shared" si="6"/>
        <v>0.31541549937571484</v>
      </c>
      <c r="L23" s="92">
        <f t="shared" si="7"/>
        <v>0</v>
      </c>
      <c r="M23" s="92">
        <f t="shared" si="8"/>
        <v>0</v>
      </c>
      <c r="N23" s="92">
        <f t="shared" si="9"/>
        <v>0.5698974104816594</v>
      </c>
      <c r="O23" s="92">
        <f t="shared" si="10"/>
        <v>159.63087323982407</v>
      </c>
      <c r="P23" s="91"/>
      <c r="Q23" s="92">
        <f t="shared" si="11"/>
        <v>0</v>
      </c>
      <c r="R23" s="92">
        <f t="shared" si="12"/>
        <v>0</v>
      </c>
      <c r="S23" s="92">
        <f t="shared" si="13"/>
        <v>0</v>
      </c>
      <c r="T23" s="92">
        <f t="shared" si="14"/>
        <v>0</v>
      </c>
    </row>
    <row r="24" spans="1:20" ht="19.5" customHeight="1">
      <c r="A24" s="71">
        <v>15</v>
      </c>
      <c r="B24" s="91">
        <f>B25+4720</f>
        <v>153777</v>
      </c>
      <c r="C24" s="92">
        <f t="shared" si="0"/>
        <v>524.8361774744027</v>
      </c>
      <c r="D24" s="92">
        <f t="shared" si="1"/>
        <v>2.1357916666666656</v>
      </c>
      <c r="E24" s="92">
        <f t="shared" si="2"/>
        <v>33.85229791666665</v>
      </c>
      <c r="F24" s="91">
        <v>70</v>
      </c>
      <c r="G24" s="94">
        <f t="shared" si="3"/>
        <v>2.8</v>
      </c>
      <c r="H24" s="91"/>
      <c r="I24" s="94">
        <f t="shared" si="4"/>
        <v>0</v>
      </c>
      <c r="J24" s="97">
        <f t="shared" si="5"/>
        <v>29.383706197576583</v>
      </c>
      <c r="K24" s="92">
        <f t="shared" si="6"/>
        <v>0.2996942313471116</v>
      </c>
      <c r="L24" s="92">
        <f t="shared" si="7"/>
        <v>0</v>
      </c>
      <c r="M24" s="92">
        <f t="shared" si="8"/>
        <v>0</v>
      </c>
      <c r="N24" s="92">
        <f t="shared" si="9"/>
        <v>0.5549743787149687</v>
      </c>
      <c r="O24" s="92">
        <f t="shared" si="10"/>
        <v>151.3803097462772</v>
      </c>
      <c r="P24" s="91"/>
      <c r="Q24" s="92">
        <f t="shared" si="11"/>
        <v>0</v>
      </c>
      <c r="R24" s="92">
        <f t="shared" si="12"/>
        <v>0</v>
      </c>
      <c r="S24" s="92">
        <f t="shared" si="13"/>
        <v>0</v>
      </c>
      <c r="T24" s="92">
        <f t="shared" si="14"/>
        <v>0</v>
      </c>
    </row>
    <row r="25" spans="1:20" ht="19.5" customHeight="1">
      <c r="A25" s="71">
        <v>16</v>
      </c>
      <c r="B25" s="91">
        <f>B26+18100</f>
        <v>149057</v>
      </c>
      <c r="C25" s="92">
        <f t="shared" si="0"/>
        <v>508.7269624573379</v>
      </c>
      <c r="D25" s="92">
        <f t="shared" si="1"/>
        <v>2.07023611111111</v>
      </c>
      <c r="E25" s="92">
        <f t="shared" si="2"/>
        <v>32.813242361111094</v>
      </c>
      <c r="F25" s="91">
        <v>50</v>
      </c>
      <c r="G25" s="94">
        <f t="shared" si="3"/>
        <v>2</v>
      </c>
      <c r="H25" s="91"/>
      <c r="I25" s="94">
        <f t="shared" si="4"/>
        <v>0</v>
      </c>
      <c r="J25" s="97">
        <f t="shared" si="5"/>
        <v>155.53979320149972</v>
      </c>
      <c r="K25" s="92">
        <f t="shared" si="6"/>
        <v>1.5864022888731668</v>
      </c>
      <c r="L25" s="92">
        <f t="shared" si="7"/>
        <v>0</v>
      </c>
      <c r="M25" s="92">
        <f t="shared" si="8"/>
        <v>0</v>
      </c>
      <c r="N25" s="92">
        <f t="shared" si="9"/>
        <v>1.0543626114276485</v>
      </c>
      <c r="O25" s="92">
        <f t="shared" si="10"/>
        <v>546.3909737990648</v>
      </c>
      <c r="P25" s="91"/>
      <c r="Q25" s="92">
        <f t="shared" si="11"/>
        <v>0</v>
      </c>
      <c r="R25" s="92">
        <f t="shared" si="12"/>
        <v>0</v>
      </c>
      <c r="S25" s="92">
        <f t="shared" si="13"/>
        <v>0</v>
      </c>
      <c r="T25" s="92">
        <f t="shared" si="14"/>
        <v>0</v>
      </c>
    </row>
    <row r="26" spans="1:20" ht="19.5" customHeight="1">
      <c r="A26" s="71">
        <v>17</v>
      </c>
      <c r="B26" s="91">
        <f>B27+18100</f>
        <v>130957</v>
      </c>
      <c r="C26" s="92">
        <f t="shared" si="0"/>
        <v>446.9522184300341</v>
      </c>
      <c r="D26" s="92">
        <f t="shared" si="1"/>
        <v>1.8188472222222214</v>
      </c>
      <c r="E26" s="92">
        <f t="shared" si="2"/>
        <v>28.82872847222221</v>
      </c>
      <c r="F26" s="91">
        <v>50</v>
      </c>
      <c r="G26" s="94">
        <f t="shared" si="3"/>
        <v>2</v>
      </c>
      <c r="H26" s="91"/>
      <c r="I26" s="94">
        <f t="shared" si="4"/>
        <v>0</v>
      </c>
      <c r="J26" s="97">
        <f t="shared" si="5"/>
        <v>120.80163224526319</v>
      </c>
      <c r="K26" s="92">
        <f t="shared" si="6"/>
        <v>1.232096185477327</v>
      </c>
      <c r="L26" s="92">
        <f t="shared" si="7"/>
        <v>0</v>
      </c>
      <c r="M26" s="92">
        <f t="shared" si="8"/>
        <v>0</v>
      </c>
      <c r="N26" s="92">
        <f t="shared" si="9"/>
        <v>0.9263312994675231</v>
      </c>
      <c r="O26" s="92">
        <f t="shared" si="10"/>
        <v>421.7510759374229</v>
      </c>
      <c r="P26" s="91"/>
      <c r="Q26" s="92">
        <f t="shared" si="11"/>
        <v>0</v>
      </c>
      <c r="R26" s="92">
        <f t="shared" si="12"/>
        <v>0</v>
      </c>
      <c r="S26" s="92">
        <f t="shared" si="13"/>
        <v>0</v>
      </c>
      <c r="T26" s="92">
        <f t="shared" si="14"/>
        <v>0</v>
      </c>
    </row>
    <row r="27" spans="1:20" ht="19.5" customHeight="1">
      <c r="A27" s="71">
        <v>18</v>
      </c>
      <c r="B27" s="91">
        <f>B28+3500</f>
        <v>112857</v>
      </c>
      <c r="C27" s="92">
        <f t="shared" si="0"/>
        <v>385.17747440273035</v>
      </c>
      <c r="D27" s="92">
        <f t="shared" si="1"/>
        <v>1.5674583333333325</v>
      </c>
      <c r="E27" s="92">
        <f t="shared" si="2"/>
        <v>24.84421458333332</v>
      </c>
      <c r="F27" s="91">
        <v>50</v>
      </c>
      <c r="G27" s="94">
        <f t="shared" si="3"/>
        <v>2</v>
      </c>
      <c r="H27" s="91"/>
      <c r="I27" s="94">
        <f t="shared" si="4"/>
        <v>0</v>
      </c>
      <c r="J27" s="97">
        <f t="shared" si="5"/>
        <v>90.4298518434804</v>
      </c>
      <c r="K27" s="92">
        <f t="shared" si="6"/>
        <v>0.9223242553827405</v>
      </c>
      <c r="L27" s="92">
        <f t="shared" si="7"/>
        <v>0</v>
      </c>
      <c r="M27" s="92">
        <f t="shared" si="8"/>
        <v>0</v>
      </c>
      <c r="N27" s="92">
        <f t="shared" si="9"/>
        <v>0.7982999875073974</v>
      </c>
      <c r="O27" s="92">
        <f t="shared" si="10"/>
        <v>313.22453063169377</v>
      </c>
      <c r="P27" s="91"/>
      <c r="Q27" s="92">
        <f t="shared" si="11"/>
        <v>0</v>
      </c>
      <c r="R27" s="92">
        <f t="shared" si="12"/>
        <v>0</v>
      </c>
      <c r="S27" s="92">
        <f t="shared" si="13"/>
        <v>0</v>
      </c>
      <c r="T27" s="92">
        <f t="shared" si="14"/>
        <v>0</v>
      </c>
    </row>
    <row r="28" spans="1:20" ht="19.5" customHeight="1">
      <c r="A28" s="71">
        <v>19</v>
      </c>
      <c r="B28" s="91">
        <f>B29+2720</f>
        <v>109357</v>
      </c>
      <c r="C28" s="92">
        <f t="shared" si="0"/>
        <v>373.2320819112628</v>
      </c>
      <c r="D28" s="92">
        <f t="shared" si="1"/>
        <v>1.5188472222222213</v>
      </c>
      <c r="E28" s="92">
        <f t="shared" si="2"/>
        <v>24.073728472222207</v>
      </c>
      <c r="F28" s="91">
        <v>50</v>
      </c>
      <c r="G28" s="94">
        <f t="shared" si="3"/>
        <v>2</v>
      </c>
      <c r="H28" s="91"/>
      <c r="I28" s="94">
        <f t="shared" si="4"/>
        <v>0</v>
      </c>
      <c r="J28" s="97">
        <f t="shared" si="5"/>
        <v>85.06073778435655</v>
      </c>
      <c r="K28" s="92">
        <f t="shared" si="6"/>
        <v>0.8675628682335318</v>
      </c>
      <c r="L28" s="92">
        <f t="shared" si="7"/>
        <v>0</v>
      </c>
      <c r="M28" s="92">
        <f t="shared" si="8"/>
        <v>0</v>
      </c>
      <c r="N28" s="92">
        <f t="shared" si="9"/>
        <v>0.7735425514930083</v>
      </c>
      <c r="O28" s="92">
        <f t="shared" si="10"/>
        <v>294.09791081390904</v>
      </c>
      <c r="P28" s="91"/>
      <c r="Q28" s="92">
        <f t="shared" si="11"/>
        <v>0</v>
      </c>
      <c r="R28" s="92">
        <f t="shared" si="12"/>
        <v>0</v>
      </c>
      <c r="S28" s="92">
        <f t="shared" si="13"/>
        <v>0</v>
      </c>
      <c r="T28" s="92">
        <f t="shared" si="14"/>
        <v>0</v>
      </c>
    </row>
    <row r="29" spans="1:20" ht="19.5" customHeight="1">
      <c r="A29" s="71">
        <v>20</v>
      </c>
      <c r="B29" s="91">
        <f>B30+3400</f>
        <v>106637</v>
      </c>
      <c r="C29" s="92">
        <f t="shared" si="0"/>
        <v>363.94880546075086</v>
      </c>
      <c r="D29" s="92">
        <f t="shared" si="1"/>
        <v>1.4810694444444434</v>
      </c>
      <c r="E29" s="92">
        <f t="shared" si="2"/>
        <v>23.474950694444427</v>
      </c>
      <c r="F29" s="91">
        <v>50</v>
      </c>
      <c r="G29" s="94">
        <f t="shared" si="3"/>
        <v>2</v>
      </c>
      <c r="H29" s="91"/>
      <c r="I29" s="94">
        <f t="shared" si="4"/>
        <v>0</v>
      </c>
      <c r="J29" s="97">
        <f t="shared" si="5"/>
        <v>81.00094752352219</v>
      </c>
      <c r="K29" s="92">
        <f t="shared" si="6"/>
        <v>0.8261557117138554</v>
      </c>
      <c r="L29" s="92">
        <f t="shared" si="7"/>
        <v>0</v>
      </c>
      <c r="M29" s="92">
        <f t="shared" si="8"/>
        <v>0</v>
      </c>
      <c r="N29" s="92">
        <f t="shared" si="9"/>
        <v>0.7543024869332546</v>
      </c>
      <c r="O29" s="92">
        <f t="shared" si="10"/>
        <v>279.6498568416</v>
      </c>
      <c r="P29" s="91"/>
      <c r="Q29" s="92">
        <f t="shared" si="11"/>
        <v>0</v>
      </c>
      <c r="R29" s="92">
        <f t="shared" si="12"/>
        <v>0</v>
      </c>
      <c r="S29" s="92">
        <f t="shared" si="13"/>
        <v>0</v>
      </c>
      <c r="T29" s="92">
        <f t="shared" si="14"/>
        <v>0</v>
      </c>
    </row>
    <row r="30" spans="1:20" ht="19.5" customHeight="1">
      <c r="A30" s="71">
        <v>21</v>
      </c>
      <c r="B30" s="91">
        <f>B31+5000</f>
        <v>103237</v>
      </c>
      <c r="C30" s="92">
        <f t="shared" si="0"/>
        <v>352.3447098976109</v>
      </c>
      <c r="D30" s="92">
        <f t="shared" si="1"/>
        <v>1.4338472222222214</v>
      </c>
      <c r="E30" s="92">
        <f t="shared" si="2"/>
        <v>22.726478472222208</v>
      </c>
      <c r="F30" s="91">
        <v>50</v>
      </c>
      <c r="G30" s="94">
        <f t="shared" si="3"/>
        <v>2</v>
      </c>
      <c r="H30" s="91"/>
      <c r="I30" s="94">
        <f t="shared" si="4"/>
        <v>0</v>
      </c>
      <c r="J30" s="97">
        <f t="shared" si="5"/>
        <v>76.06492540440044</v>
      </c>
      <c r="K30" s="92">
        <f t="shared" si="6"/>
        <v>0.7758115738792435</v>
      </c>
      <c r="L30" s="92">
        <f t="shared" si="7"/>
        <v>0</v>
      </c>
      <c r="M30" s="92">
        <f t="shared" si="8"/>
        <v>0</v>
      </c>
      <c r="N30" s="92">
        <f t="shared" si="9"/>
        <v>0.7302524062335627</v>
      </c>
      <c r="O30" s="92">
        <f t="shared" si="10"/>
        <v>262.1015055020699</v>
      </c>
      <c r="P30" s="91"/>
      <c r="Q30" s="92">
        <f t="shared" si="11"/>
        <v>0</v>
      </c>
      <c r="R30" s="92">
        <f t="shared" si="12"/>
        <v>0</v>
      </c>
      <c r="S30" s="92">
        <f t="shared" si="13"/>
        <v>0</v>
      </c>
      <c r="T30" s="92">
        <f t="shared" si="14"/>
        <v>0</v>
      </c>
    </row>
    <row r="31" spans="1:20" ht="19.5" customHeight="1">
      <c r="A31" s="71">
        <v>22</v>
      </c>
      <c r="B31" s="91">
        <f>B32+5820</f>
        <v>98237</v>
      </c>
      <c r="C31" s="92">
        <f t="shared" si="0"/>
        <v>335.2798634812287</v>
      </c>
      <c r="D31" s="92">
        <f t="shared" si="1"/>
        <v>1.364402777777777</v>
      </c>
      <c r="E31" s="92">
        <f t="shared" si="2"/>
        <v>21.625784027777765</v>
      </c>
      <c r="F31" s="91">
        <v>50</v>
      </c>
      <c r="G31" s="94">
        <f t="shared" si="3"/>
        <v>2</v>
      </c>
      <c r="H31" s="91"/>
      <c r="I31" s="94">
        <f t="shared" si="4"/>
        <v>0</v>
      </c>
      <c r="J31" s="97">
        <f t="shared" si="5"/>
        <v>69.08608473294841</v>
      </c>
      <c r="K31" s="92">
        <f t="shared" si="6"/>
        <v>0.704632047489299</v>
      </c>
      <c r="L31" s="92">
        <f t="shared" si="7"/>
        <v>0</v>
      </c>
      <c r="M31" s="92">
        <f t="shared" si="8"/>
        <v>0</v>
      </c>
      <c r="N31" s="92">
        <f t="shared" si="9"/>
        <v>0.6948846404987213</v>
      </c>
      <c r="O31" s="92">
        <f t="shared" si="10"/>
        <v>237.32798215990977</v>
      </c>
      <c r="P31" s="91"/>
      <c r="Q31" s="92">
        <f t="shared" si="11"/>
        <v>0</v>
      </c>
      <c r="R31" s="92">
        <f t="shared" si="12"/>
        <v>0</v>
      </c>
      <c r="S31" s="92">
        <f t="shared" si="13"/>
        <v>0</v>
      </c>
      <c r="T31" s="92">
        <f t="shared" si="14"/>
        <v>0</v>
      </c>
    </row>
    <row r="32" spans="1:20" ht="19.5" customHeight="1">
      <c r="A32" s="71">
        <v>23</v>
      </c>
      <c r="B32" s="91">
        <f>B33+3400</f>
        <v>92417</v>
      </c>
      <c r="C32" s="92">
        <f t="shared" si="0"/>
        <v>315.41638225255974</v>
      </c>
      <c r="D32" s="92">
        <f t="shared" si="1"/>
        <v>1.2835694444444439</v>
      </c>
      <c r="E32" s="92">
        <f t="shared" si="2"/>
        <v>20.344575694444433</v>
      </c>
      <c r="F32" s="91">
        <v>50</v>
      </c>
      <c r="G32" s="94">
        <f t="shared" si="3"/>
        <v>2</v>
      </c>
      <c r="H32" s="91"/>
      <c r="I32" s="94">
        <f t="shared" si="4"/>
        <v>0</v>
      </c>
      <c r="J32" s="97">
        <f t="shared" si="5"/>
        <v>61.38260629121932</v>
      </c>
      <c r="K32" s="92">
        <f t="shared" si="6"/>
        <v>0.6260616985084936</v>
      </c>
      <c r="L32" s="92">
        <f t="shared" si="7"/>
        <v>0</v>
      </c>
      <c r="M32" s="92">
        <f t="shared" si="8"/>
        <v>0</v>
      </c>
      <c r="N32" s="92">
        <f t="shared" si="9"/>
        <v>0.6537165611833661</v>
      </c>
      <c r="O32" s="92">
        <f t="shared" si="10"/>
        <v>210.04023577259684</v>
      </c>
      <c r="P32" s="91"/>
      <c r="Q32" s="92">
        <f t="shared" si="11"/>
        <v>0</v>
      </c>
      <c r="R32" s="92">
        <f t="shared" si="12"/>
        <v>0</v>
      </c>
      <c r="S32" s="92">
        <f t="shared" si="13"/>
        <v>0</v>
      </c>
      <c r="T32" s="92">
        <f t="shared" si="14"/>
        <v>0</v>
      </c>
    </row>
    <row r="33" spans="1:20" ht="19.5" customHeight="1">
      <c r="A33" s="71">
        <v>24</v>
      </c>
      <c r="B33" s="91">
        <f>B34+3930</f>
        <v>89017</v>
      </c>
      <c r="C33" s="92">
        <f t="shared" si="0"/>
        <v>303.8122866894198</v>
      </c>
      <c r="D33" s="92">
        <f t="shared" si="1"/>
        <v>1.2363472222222216</v>
      </c>
      <c r="E33" s="92">
        <f t="shared" si="2"/>
        <v>19.59610347222221</v>
      </c>
      <c r="F33" s="91">
        <v>40</v>
      </c>
      <c r="G33" s="94">
        <f t="shared" si="3"/>
        <v>1.6</v>
      </c>
      <c r="H33" s="91"/>
      <c r="I33" s="94">
        <f t="shared" si="4"/>
        <v>0</v>
      </c>
      <c r="J33" s="97">
        <f t="shared" si="5"/>
        <v>179.57975984530714</v>
      </c>
      <c r="K33" s="92">
        <f t="shared" si="6"/>
        <v>1.8315939361242637</v>
      </c>
      <c r="L33" s="92">
        <f t="shared" si="7"/>
        <v>0</v>
      </c>
      <c r="M33" s="92">
        <f t="shared" si="8"/>
        <v>0</v>
      </c>
      <c r="N33" s="92">
        <f t="shared" si="9"/>
        <v>0.9838538757557405</v>
      </c>
      <c r="O33" s="92">
        <f t="shared" si="10"/>
        <v>475.75649260465946</v>
      </c>
      <c r="P33" s="91"/>
      <c r="Q33" s="92">
        <f t="shared" si="11"/>
        <v>0</v>
      </c>
      <c r="R33" s="92">
        <f t="shared" si="12"/>
        <v>0</v>
      </c>
      <c r="S33" s="92">
        <f t="shared" si="13"/>
        <v>0</v>
      </c>
      <c r="T33" s="92">
        <f t="shared" si="14"/>
        <v>0</v>
      </c>
    </row>
    <row r="34" spans="1:20" ht="19.5" customHeight="1">
      <c r="A34" s="71">
        <v>25</v>
      </c>
      <c r="B34" s="91">
        <f>B35+7032+3400</f>
        <v>85087</v>
      </c>
      <c r="C34" s="92">
        <f aca="true" t="shared" si="15" ref="C34:C51">B34/293</f>
        <v>290.3993174061433</v>
      </c>
      <c r="D34" s="92">
        <f aca="true" t="shared" si="16" ref="D34:D51">B34*0.83/$F$5/3600</f>
        <v>1.1817638888888882</v>
      </c>
      <c r="E34" s="92">
        <f aca="true" t="shared" si="17" ref="E34:E51">D34*15.85</f>
        <v>18.730957638888878</v>
      </c>
      <c r="F34" s="91">
        <v>40</v>
      </c>
      <c r="G34" s="94">
        <f aca="true" t="shared" si="18" ref="G34:G51">F34/25</f>
        <v>1.6</v>
      </c>
      <c r="H34" s="91"/>
      <c r="I34" s="94">
        <f aca="true" t="shared" si="19" ref="I34:I51">H34*3.28</f>
        <v>0</v>
      </c>
      <c r="J34" s="97">
        <f aca="true" t="shared" si="20" ref="J34:J51">6.9938*10^-12*(0.2/F34+0.0904836*F34/(0.86*B34/25))^0.25*(0.86*B34/25)^2/(F34/1000)^5</f>
        <v>164.43432895256296</v>
      </c>
      <c r="K34" s="92">
        <f aca="true" t="shared" si="21" ref="K34:K51">J34*8.33/249/3.28</f>
        <v>1.6771206290709786</v>
      </c>
      <c r="L34" s="92">
        <f aca="true" t="shared" si="22" ref="L34:L51">H34*J34</f>
        <v>0</v>
      </c>
      <c r="M34" s="92">
        <f aca="true" t="shared" si="23" ref="M34:M51">L34/249</f>
        <v>0</v>
      </c>
      <c r="N34" s="92">
        <f aca="true" t="shared" si="24" ref="N34:N51">D34*4000/(3.1415926*(F34^2))</f>
        <v>0.9404178384626385</v>
      </c>
      <c r="O34" s="92">
        <f aca="true" t="shared" si="25" ref="O34:O51">N34^2*983/2</f>
        <v>434.6755769067313</v>
      </c>
      <c r="P34" s="91"/>
      <c r="Q34" s="92">
        <f aca="true" t="shared" si="26" ref="Q34:Q51">O34*P34</f>
        <v>0</v>
      </c>
      <c r="R34" s="92">
        <f aca="true" t="shared" si="27" ref="R34:R51">Q34/249</f>
        <v>0</v>
      </c>
      <c r="S34" s="92">
        <f aca="true" t="shared" si="28" ref="S34:S51">L34+Q34</f>
        <v>0</v>
      </c>
      <c r="T34" s="92">
        <f aca="true" t="shared" si="29" ref="T34:T51">S34/249</f>
        <v>0</v>
      </c>
    </row>
    <row r="35" spans="1:20" ht="19.5" customHeight="1">
      <c r="A35" s="71">
        <v>26</v>
      </c>
      <c r="B35" s="91">
        <f>B36+5270</f>
        <v>74655</v>
      </c>
      <c r="C35" s="92">
        <f t="shared" si="15"/>
        <v>254.79522184300342</v>
      </c>
      <c r="D35" s="92">
        <f t="shared" si="16"/>
        <v>1.0368749999999993</v>
      </c>
      <c r="E35" s="92">
        <f t="shared" si="17"/>
        <v>16.43446874999999</v>
      </c>
      <c r="F35" s="91">
        <v>40</v>
      </c>
      <c r="G35" s="94">
        <f t="shared" si="18"/>
        <v>1.6</v>
      </c>
      <c r="H35" s="91"/>
      <c r="I35" s="94">
        <f t="shared" si="19"/>
        <v>0</v>
      </c>
      <c r="J35" s="97">
        <f t="shared" si="20"/>
        <v>127.45330021076137</v>
      </c>
      <c r="K35" s="92">
        <f t="shared" si="21"/>
        <v>1.2999387681893946</v>
      </c>
      <c r="L35" s="92">
        <f t="shared" si="22"/>
        <v>0</v>
      </c>
      <c r="M35" s="92">
        <f t="shared" si="23"/>
        <v>0</v>
      </c>
      <c r="N35" s="92">
        <f t="shared" si="24"/>
        <v>0.8251189221670557</v>
      </c>
      <c r="O35" s="92">
        <f t="shared" si="25"/>
        <v>334.62363735545784</v>
      </c>
      <c r="P35" s="91"/>
      <c r="Q35" s="92">
        <f t="shared" si="26"/>
        <v>0</v>
      </c>
      <c r="R35" s="92">
        <f t="shared" si="27"/>
        <v>0</v>
      </c>
      <c r="S35" s="92">
        <f t="shared" si="28"/>
        <v>0</v>
      </c>
      <c r="T35" s="92">
        <f t="shared" si="29"/>
        <v>0</v>
      </c>
    </row>
    <row r="36" spans="1:20" ht="19.5" customHeight="1">
      <c r="A36" s="71">
        <v>27</v>
      </c>
      <c r="B36" s="91">
        <f>B37+3400</f>
        <v>69385</v>
      </c>
      <c r="C36" s="92">
        <f t="shared" si="15"/>
        <v>236.80887372013652</v>
      </c>
      <c r="D36" s="92">
        <f t="shared" si="16"/>
        <v>0.9636805555555551</v>
      </c>
      <c r="E36" s="92">
        <f t="shared" si="17"/>
        <v>15.274336805555548</v>
      </c>
      <c r="F36" s="91">
        <v>40</v>
      </c>
      <c r="G36" s="94">
        <f t="shared" si="18"/>
        <v>1.6</v>
      </c>
      <c r="H36" s="91"/>
      <c r="I36" s="94">
        <f t="shared" si="19"/>
        <v>0</v>
      </c>
      <c r="J36" s="97">
        <f t="shared" si="20"/>
        <v>110.55103015196647</v>
      </c>
      <c r="K36" s="92">
        <f t="shared" si="21"/>
        <v>1.127546871835979</v>
      </c>
      <c r="L36" s="92">
        <f t="shared" si="22"/>
        <v>0</v>
      </c>
      <c r="M36" s="92">
        <f t="shared" si="23"/>
        <v>0</v>
      </c>
      <c r="N36" s="92">
        <f t="shared" si="24"/>
        <v>0.7668726329724891</v>
      </c>
      <c r="O36" s="92">
        <f t="shared" si="25"/>
        <v>289.04802170186065</v>
      </c>
      <c r="P36" s="91"/>
      <c r="Q36" s="92">
        <f t="shared" si="26"/>
        <v>0</v>
      </c>
      <c r="R36" s="92">
        <f t="shared" si="27"/>
        <v>0</v>
      </c>
      <c r="S36" s="92">
        <f t="shared" si="28"/>
        <v>0</v>
      </c>
      <c r="T36" s="92">
        <f t="shared" si="29"/>
        <v>0</v>
      </c>
    </row>
    <row r="37" spans="1:20" ht="19.5" customHeight="1">
      <c r="A37" s="71">
        <v>28</v>
      </c>
      <c r="B37" s="91">
        <f>B38+3060</f>
        <v>65985</v>
      </c>
      <c r="C37" s="92">
        <f t="shared" si="15"/>
        <v>225.20477815699658</v>
      </c>
      <c r="D37" s="92">
        <f t="shared" si="16"/>
        <v>0.9164583333333328</v>
      </c>
      <c r="E37" s="92">
        <f t="shared" si="17"/>
        <v>14.525864583333325</v>
      </c>
      <c r="F37" s="91">
        <v>40</v>
      </c>
      <c r="G37" s="94">
        <f t="shared" si="18"/>
        <v>1.6</v>
      </c>
      <c r="H37" s="91"/>
      <c r="I37" s="94">
        <f t="shared" si="19"/>
        <v>0</v>
      </c>
      <c r="J37" s="97">
        <f t="shared" si="20"/>
        <v>100.28042103876831</v>
      </c>
      <c r="K37" s="92">
        <f t="shared" si="21"/>
        <v>1.0227934999178911</v>
      </c>
      <c r="L37" s="92">
        <f t="shared" si="22"/>
        <v>0</v>
      </c>
      <c r="M37" s="92">
        <f t="shared" si="23"/>
        <v>0</v>
      </c>
      <c r="N37" s="92">
        <f t="shared" si="24"/>
        <v>0.72929438187922</v>
      </c>
      <c r="O37" s="92">
        <f t="shared" si="25"/>
        <v>261.4142502090518</v>
      </c>
      <c r="P37" s="91"/>
      <c r="Q37" s="92">
        <f t="shared" si="26"/>
        <v>0</v>
      </c>
      <c r="R37" s="92">
        <f t="shared" si="27"/>
        <v>0</v>
      </c>
      <c r="S37" s="92">
        <f t="shared" si="28"/>
        <v>0</v>
      </c>
      <c r="T37" s="92">
        <f t="shared" si="29"/>
        <v>0</v>
      </c>
    </row>
    <row r="38" spans="1:20" ht="19.5" customHeight="1">
      <c r="A38" s="71">
        <v>29</v>
      </c>
      <c r="B38" s="91">
        <f>B39+3400</f>
        <v>62925</v>
      </c>
      <c r="C38" s="92">
        <f t="shared" si="15"/>
        <v>214.76109215017064</v>
      </c>
      <c r="D38" s="92">
        <f t="shared" si="16"/>
        <v>0.8739583333333328</v>
      </c>
      <c r="E38" s="92">
        <f t="shared" si="17"/>
        <v>13.852239583333326</v>
      </c>
      <c r="F38" s="91">
        <v>40</v>
      </c>
      <c r="G38" s="94">
        <f t="shared" si="18"/>
        <v>1.6</v>
      </c>
      <c r="H38" s="91"/>
      <c r="I38" s="94">
        <f t="shared" si="19"/>
        <v>0</v>
      </c>
      <c r="J38" s="97">
        <f t="shared" si="20"/>
        <v>91.4621365060377</v>
      </c>
      <c r="K38" s="92">
        <f t="shared" si="21"/>
        <v>0.9328528713577408</v>
      </c>
      <c r="L38" s="92">
        <f t="shared" si="22"/>
        <v>0</v>
      </c>
      <c r="M38" s="92">
        <f t="shared" si="23"/>
        <v>0</v>
      </c>
      <c r="N38" s="92">
        <f t="shared" si="24"/>
        <v>0.695473955895278</v>
      </c>
      <c r="O38" s="92">
        <f t="shared" si="25"/>
        <v>237.73069746602025</v>
      </c>
      <c r="P38" s="91"/>
      <c r="Q38" s="92">
        <f t="shared" si="26"/>
        <v>0</v>
      </c>
      <c r="R38" s="92">
        <f t="shared" si="27"/>
        <v>0</v>
      </c>
      <c r="S38" s="92">
        <f t="shared" si="28"/>
        <v>0</v>
      </c>
      <c r="T38" s="92">
        <f t="shared" si="29"/>
        <v>0</v>
      </c>
    </row>
    <row r="39" spans="1:20" ht="19.5" customHeight="1">
      <c r="A39" s="71">
        <v>30</v>
      </c>
      <c r="B39" s="91">
        <f>B40+6810</f>
        <v>59525</v>
      </c>
      <c r="C39" s="92">
        <f t="shared" si="15"/>
        <v>203.1569965870307</v>
      </c>
      <c r="D39" s="92">
        <f>B39*0.83/$F$5/3600</f>
        <v>0.8267361111111108</v>
      </c>
      <c r="E39" s="92">
        <f t="shared" si="17"/>
        <v>13.103767361111105</v>
      </c>
      <c r="F39" s="91">
        <v>40</v>
      </c>
      <c r="G39" s="94">
        <f t="shared" si="18"/>
        <v>1.6</v>
      </c>
      <c r="H39" s="91"/>
      <c r="I39" s="94">
        <f t="shared" si="19"/>
        <v>0</v>
      </c>
      <c r="J39" s="97">
        <f>6.9938*10^-12*(0.2/F39+0.0904836*F39/(0.86*B39/25))^0.25*(0.86*B39/25)^2/(F39/1000)^5</f>
        <v>82.13662123477077</v>
      </c>
      <c r="K39" s="92">
        <f t="shared" si="21"/>
        <v>0.8377388271202377</v>
      </c>
      <c r="L39" s="92">
        <f>H39*J39</f>
        <v>0</v>
      </c>
      <c r="M39" s="92">
        <f t="shared" si="23"/>
        <v>0</v>
      </c>
      <c r="N39" s="92">
        <f>D39*4000/(3.1415926*(F39^2))</f>
        <v>0.6578957048020092</v>
      </c>
      <c r="O39" s="92">
        <f>N39^2*983/2</f>
        <v>212.7343517520923</v>
      </c>
      <c r="P39" s="91"/>
      <c r="Q39" s="92">
        <f>O39*P39</f>
        <v>0</v>
      </c>
      <c r="R39" s="92">
        <f t="shared" si="27"/>
        <v>0</v>
      </c>
      <c r="S39" s="92">
        <f>L39+Q39</f>
        <v>0</v>
      </c>
      <c r="T39" s="92">
        <f t="shared" si="29"/>
        <v>0</v>
      </c>
    </row>
    <row r="40" spans="1:20" ht="19.5" customHeight="1">
      <c r="A40" s="71" t="s">
        <v>140</v>
      </c>
      <c r="B40" s="91">
        <f>B41+1460</f>
        <v>52715</v>
      </c>
      <c r="C40" s="92">
        <f t="shared" si="15"/>
        <v>179.91467576791808</v>
      </c>
      <c r="D40" s="92">
        <f t="shared" si="16"/>
        <v>0.7321527777777774</v>
      </c>
      <c r="E40" s="92">
        <f t="shared" si="17"/>
        <v>11.604621527777772</v>
      </c>
      <c r="F40" s="91">
        <v>32</v>
      </c>
      <c r="G40" s="94">
        <f t="shared" si="18"/>
        <v>1.28</v>
      </c>
      <c r="H40" s="91"/>
      <c r="I40" s="94">
        <f t="shared" si="19"/>
        <v>0</v>
      </c>
      <c r="J40" s="97">
        <f t="shared" si="20"/>
        <v>203.99549802001854</v>
      </c>
      <c r="K40" s="92">
        <f t="shared" si="21"/>
        <v>2.0806182026970745</v>
      </c>
      <c r="L40" s="92">
        <f t="shared" si="22"/>
        <v>0</v>
      </c>
      <c r="M40" s="92">
        <f t="shared" si="23"/>
        <v>0</v>
      </c>
      <c r="N40" s="92">
        <f t="shared" si="24"/>
        <v>0.9103573099180469</v>
      </c>
      <c r="O40" s="92">
        <f t="shared" si="25"/>
        <v>407.330837190981</v>
      </c>
      <c r="P40" s="91"/>
      <c r="Q40" s="92">
        <f t="shared" si="26"/>
        <v>0</v>
      </c>
      <c r="R40" s="92">
        <f t="shared" si="27"/>
        <v>0</v>
      </c>
      <c r="S40" s="92">
        <f t="shared" si="28"/>
        <v>0</v>
      </c>
      <c r="T40" s="92">
        <f t="shared" si="29"/>
        <v>0</v>
      </c>
    </row>
    <row r="41" spans="1:20" ht="19.5" customHeight="1">
      <c r="A41" s="71">
        <v>31</v>
      </c>
      <c r="B41" s="91">
        <f>B42+6310</f>
        <v>51255</v>
      </c>
      <c r="C41" s="92">
        <f t="shared" si="15"/>
        <v>174.93174061433447</v>
      </c>
      <c r="D41" s="92">
        <f t="shared" si="16"/>
        <v>0.7118749999999996</v>
      </c>
      <c r="E41" s="92">
        <f t="shared" si="17"/>
        <v>11.283218749999993</v>
      </c>
      <c r="F41" s="91">
        <v>32</v>
      </c>
      <c r="G41" s="94">
        <f t="shared" si="18"/>
        <v>1.28</v>
      </c>
      <c r="H41" s="91"/>
      <c r="I41" s="94">
        <f t="shared" si="19"/>
        <v>0</v>
      </c>
      <c r="J41" s="97">
        <f t="shared" si="20"/>
        <v>193.1310727849461</v>
      </c>
      <c r="K41" s="92">
        <f t="shared" si="21"/>
        <v>1.9698083018642878</v>
      </c>
      <c r="L41" s="92">
        <f t="shared" si="22"/>
        <v>0</v>
      </c>
      <c r="M41" s="92">
        <f t="shared" si="23"/>
        <v>0</v>
      </c>
      <c r="N41" s="92">
        <f t="shared" si="24"/>
        <v>0.8851439612984823</v>
      </c>
      <c r="O41" s="92">
        <f t="shared" si="25"/>
        <v>385.0803375376876</v>
      </c>
      <c r="P41" s="91"/>
      <c r="Q41" s="92">
        <f t="shared" si="26"/>
        <v>0</v>
      </c>
      <c r="R41" s="92">
        <f t="shared" si="27"/>
        <v>0</v>
      </c>
      <c r="S41" s="92">
        <f t="shared" si="28"/>
        <v>0</v>
      </c>
      <c r="T41" s="92">
        <f t="shared" si="29"/>
        <v>0</v>
      </c>
    </row>
    <row r="42" spans="1:20" ht="19.5" customHeight="1">
      <c r="A42" s="71">
        <v>32</v>
      </c>
      <c r="B42" s="91">
        <f>B43+1840</f>
        <v>44945</v>
      </c>
      <c r="C42" s="92">
        <f t="shared" si="15"/>
        <v>153.39590443686006</v>
      </c>
      <c r="D42" s="92">
        <f t="shared" si="16"/>
        <v>0.6242361111111108</v>
      </c>
      <c r="E42" s="92">
        <f t="shared" si="17"/>
        <v>9.894142361111106</v>
      </c>
      <c r="F42" s="91">
        <v>32</v>
      </c>
      <c r="G42" s="94">
        <f t="shared" si="18"/>
        <v>1.28</v>
      </c>
      <c r="H42" s="91"/>
      <c r="I42" s="94">
        <f t="shared" si="19"/>
        <v>0</v>
      </c>
      <c r="J42" s="97">
        <f t="shared" si="20"/>
        <v>149.57835612471163</v>
      </c>
      <c r="K42" s="92">
        <f t="shared" si="21"/>
        <v>1.5255996014776767</v>
      </c>
      <c r="L42" s="92">
        <f t="shared" si="22"/>
        <v>0</v>
      </c>
      <c r="M42" s="92">
        <f t="shared" si="23"/>
        <v>0</v>
      </c>
      <c r="N42" s="92">
        <f t="shared" si="24"/>
        <v>0.7761739408947476</v>
      </c>
      <c r="O42" s="92">
        <f t="shared" si="25"/>
        <v>296.10220237658683</v>
      </c>
      <c r="P42" s="91"/>
      <c r="Q42" s="92">
        <f t="shared" si="26"/>
        <v>0</v>
      </c>
      <c r="R42" s="92">
        <f t="shared" si="27"/>
        <v>0</v>
      </c>
      <c r="S42" s="92">
        <f t="shared" si="28"/>
        <v>0</v>
      </c>
      <c r="T42" s="92">
        <f t="shared" si="29"/>
        <v>0</v>
      </c>
    </row>
    <row r="43" spans="1:20" ht="19.5" customHeight="1">
      <c r="A43" s="71">
        <v>33</v>
      </c>
      <c r="B43" s="91">
        <f>B44+4200</f>
        <v>43105</v>
      </c>
      <c r="C43" s="92">
        <f t="shared" si="15"/>
        <v>147.1160409556314</v>
      </c>
      <c r="D43" s="92">
        <f t="shared" si="16"/>
        <v>0.5986805555555553</v>
      </c>
      <c r="E43" s="92">
        <f t="shared" si="17"/>
        <v>9.489086805555552</v>
      </c>
      <c r="F43" s="91">
        <v>32</v>
      </c>
      <c r="G43" s="94">
        <f t="shared" si="18"/>
        <v>1.28</v>
      </c>
      <c r="H43" s="91"/>
      <c r="I43" s="94">
        <f t="shared" si="19"/>
        <v>0</v>
      </c>
      <c r="J43" s="97">
        <f t="shared" si="20"/>
        <v>137.9191598501879</v>
      </c>
      <c r="K43" s="92">
        <f t="shared" si="21"/>
        <v>1.4066835654227463</v>
      </c>
      <c r="L43" s="92">
        <f t="shared" si="22"/>
        <v>0</v>
      </c>
      <c r="M43" s="92">
        <f t="shared" si="23"/>
        <v>0</v>
      </c>
      <c r="N43" s="92">
        <f t="shared" si="24"/>
        <v>0.7443982138673512</v>
      </c>
      <c r="O43" s="92">
        <f t="shared" si="25"/>
        <v>272.35425644757566</v>
      </c>
      <c r="P43" s="91"/>
      <c r="Q43" s="92">
        <f t="shared" si="26"/>
        <v>0</v>
      </c>
      <c r="R43" s="92">
        <f t="shared" si="27"/>
        <v>0</v>
      </c>
      <c r="S43" s="92">
        <f t="shared" si="28"/>
        <v>0</v>
      </c>
      <c r="T43" s="92">
        <f t="shared" si="29"/>
        <v>0</v>
      </c>
    </row>
    <row r="44" spans="1:20" ht="19.5" customHeight="1">
      <c r="A44" s="71">
        <v>34</v>
      </c>
      <c r="B44" s="91">
        <f>B45+4200</f>
        <v>38905</v>
      </c>
      <c r="C44" s="92">
        <f t="shared" si="15"/>
        <v>132.78156996587032</v>
      </c>
      <c r="D44" s="92">
        <f t="shared" si="16"/>
        <v>0.5403472222222219</v>
      </c>
      <c r="E44" s="92">
        <f t="shared" si="17"/>
        <v>8.564503472222217</v>
      </c>
      <c r="F44" s="91">
        <v>32</v>
      </c>
      <c r="G44" s="94">
        <f t="shared" si="18"/>
        <v>1.28</v>
      </c>
      <c r="H44" s="91"/>
      <c r="I44" s="94">
        <f t="shared" si="19"/>
        <v>0</v>
      </c>
      <c r="J44" s="97">
        <f t="shared" si="20"/>
        <v>113.06681476164934</v>
      </c>
      <c r="K44" s="92">
        <f t="shared" si="21"/>
        <v>1.1532061991435731</v>
      </c>
      <c r="L44" s="92">
        <f t="shared" si="22"/>
        <v>0</v>
      </c>
      <c r="M44" s="92">
        <f t="shared" si="23"/>
        <v>0</v>
      </c>
      <c r="N44" s="92">
        <f t="shared" si="24"/>
        <v>0.6718666630439459</v>
      </c>
      <c r="O44" s="92">
        <f t="shared" si="25"/>
        <v>221.86546554517022</v>
      </c>
      <c r="P44" s="91"/>
      <c r="Q44" s="92">
        <f t="shared" si="26"/>
        <v>0</v>
      </c>
      <c r="R44" s="92">
        <f t="shared" si="27"/>
        <v>0</v>
      </c>
      <c r="S44" s="92">
        <f t="shared" si="28"/>
        <v>0</v>
      </c>
      <c r="T44" s="92">
        <f t="shared" si="29"/>
        <v>0</v>
      </c>
    </row>
    <row r="45" spans="1:20" ht="19.5" customHeight="1">
      <c r="A45" s="71">
        <v>35</v>
      </c>
      <c r="B45" s="91">
        <f>B46+5400</f>
        <v>34705</v>
      </c>
      <c r="C45" s="92">
        <f t="shared" si="15"/>
        <v>118.44709897610922</v>
      </c>
      <c r="D45" s="92">
        <f t="shared" si="16"/>
        <v>0.48201388888888863</v>
      </c>
      <c r="E45" s="92">
        <f t="shared" si="17"/>
        <v>7.639920138888884</v>
      </c>
      <c r="F45" s="91">
        <v>25</v>
      </c>
      <c r="G45" s="94">
        <f t="shared" si="18"/>
        <v>1</v>
      </c>
      <c r="H45" s="91"/>
      <c r="I45" s="94">
        <f t="shared" si="19"/>
        <v>0</v>
      </c>
      <c r="J45" s="97">
        <f t="shared" si="20"/>
        <v>321.93315976679236</v>
      </c>
      <c r="K45" s="92">
        <f t="shared" si="21"/>
        <v>3.2835037967202725</v>
      </c>
      <c r="L45" s="92">
        <f t="shared" si="22"/>
        <v>0</v>
      </c>
      <c r="M45" s="92">
        <f t="shared" si="23"/>
        <v>0</v>
      </c>
      <c r="N45" s="92">
        <f t="shared" si="24"/>
        <v>0.9819506478621344</v>
      </c>
      <c r="O45" s="92">
        <f t="shared" si="25"/>
        <v>473.91760728231935</v>
      </c>
      <c r="P45" s="91"/>
      <c r="Q45" s="92">
        <f t="shared" si="26"/>
        <v>0</v>
      </c>
      <c r="R45" s="92">
        <f t="shared" si="27"/>
        <v>0</v>
      </c>
      <c r="S45" s="92">
        <f t="shared" si="28"/>
        <v>0</v>
      </c>
      <c r="T45" s="92">
        <f t="shared" si="29"/>
        <v>0</v>
      </c>
    </row>
    <row r="46" spans="1:20" ht="19.5" customHeight="1">
      <c r="A46" s="71">
        <v>36</v>
      </c>
      <c r="B46" s="91">
        <f>B47+4020</f>
        <v>29305</v>
      </c>
      <c r="C46" s="92">
        <f t="shared" si="15"/>
        <v>100.01706484641639</v>
      </c>
      <c r="D46" s="92">
        <f t="shared" si="16"/>
        <v>0.4070138888888886</v>
      </c>
      <c r="E46" s="92">
        <f t="shared" si="17"/>
        <v>6.451170138888885</v>
      </c>
      <c r="F46" s="91">
        <v>25</v>
      </c>
      <c r="G46" s="94">
        <f t="shared" si="18"/>
        <v>1</v>
      </c>
      <c r="H46" s="91"/>
      <c r="I46" s="94">
        <f t="shared" si="19"/>
        <v>0</v>
      </c>
      <c r="J46" s="97">
        <f t="shared" si="20"/>
        <v>231.54221030823297</v>
      </c>
      <c r="K46" s="92">
        <f t="shared" si="21"/>
        <v>2.361576319751666</v>
      </c>
      <c r="L46" s="92">
        <f t="shared" si="22"/>
        <v>0</v>
      </c>
      <c r="M46" s="92">
        <f t="shared" si="23"/>
        <v>0</v>
      </c>
      <c r="N46" s="92">
        <f t="shared" si="24"/>
        <v>0.8291618998876198</v>
      </c>
      <c r="O46" s="92">
        <f t="shared" si="25"/>
        <v>337.910897734709</v>
      </c>
      <c r="P46" s="91"/>
      <c r="Q46" s="92">
        <f t="shared" si="26"/>
        <v>0</v>
      </c>
      <c r="R46" s="92">
        <f t="shared" si="27"/>
        <v>0</v>
      </c>
      <c r="S46" s="92">
        <f t="shared" si="28"/>
        <v>0</v>
      </c>
      <c r="T46" s="92">
        <f t="shared" si="29"/>
        <v>0</v>
      </c>
    </row>
    <row r="47" spans="1:20" ht="19.5" customHeight="1">
      <c r="A47" s="71">
        <v>37</v>
      </c>
      <c r="B47" s="91">
        <f>B48+4700</f>
        <v>25285</v>
      </c>
      <c r="C47" s="92">
        <f t="shared" si="15"/>
        <v>86.29692832764505</v>
      </c>
      <c r="D47" s="92">
        <f t="shared" si="16"/>
        <v>0.3511805555555554</v>
      </c>
      <c r="E47" s="92">
        <f t="shared" si="17"/>
        <v>5.566211805555553</v>
      </c>
      <c r="F47" s="91">
        <v>25</v>
      </c>
      <c r="G47" s="94">
        <f t="shared" si="18"/>
        <v>1</v>
      </c>
      <c r="H47" s="91"/>
      <c r="I47" s="94">
        <f t="shared" si="19"/>
        <v>0</v>
      </c>
      <c r="J47" s="97">
        <f t="shared" si="20"/>
        <v>173.85592396656602</v>
      </c>
      <c r="K47" s="92">
        <f t="shared" si="21"/>
        <v>1.773214622687696</v>
      </c>
      <c r="L47" s="92">
        <f t="shared" si="22"/>
        <v>0</v>
      </c>
      <c r="M47" s="92">
        <f t="shared" si="23"/>
        <v>0</v>
      </c>
      <c r="N47" s="92">
        <f t="shared" si="24"/>
        <v>0.7154191652843702</v>
      </c>
      <c r="O47" s="92">
        <f t="shared" si="25"/>
        <v>251.56178208061496</v>
      </c>
      <c r="P47" s="91"/>
      <c r="Q47" s="92">
        <f t="shared" si="26"/>
        <v>0</v>
      </c>
      <c r="R47" s="92">
        <f t="shared" si="27"/>
        <v>0</v>
      </c>
      <c r="S47" s="92">
        <f t="shared" si="28"/>
        <v>0</v>
      </c>
      <c r="T47" s="92">
        <f t="shared" si="29"/>
        <v>0</v>
      </c>
    </row>
    <row r="48" spans="1:20" ht="19.5" customHeight="1">
      <c r="A48" s="71">
        <v>38</v>
      </c>
      <c r="B48" s="91">
        <f>B49+5380</f>
        <v>20585</v>
      </c>
      <c r="C48" s="92">
        <f t="shared" si="15"/>
        <v>70.25597269624573</v>
      </c>
      <c r="D48" s="92">
        <f t="shared" si="16"/>
        <v>0.28590277777777756</v>
      </c>
      <c r="E48" s="92">
        <f t="shared" si="17"/>
        <v>4.531559027777774</v>
      </c>
      <c r="F48" s="91">
        <v>20</v>
      </c>
      <c r="G48" s="94">
        <f t="shared" si="18"/>
        <v>0.8</v>
      </c>
      <c r="H48" s="91"/>
      <c r="I48" s="94">
        <f t="shared" si="19"/>
        <v>0</v>
      </c>
      <c r="J48" s="97">
        <f t="shared" si="20"/>
        <v>366.852182950145</v>
      </c>
      <c r="K48" s="92">
        <f t="shared" si="21"/>
        <v>3.741647913574674</v>
      </c>
      <c r="L48" s="92">
        <f t="shared" si="22"/>
        <v>0</v>
      </c>
      <c r="M48" s="92">
        <f t="shared" si="23"/>
        <v>0</v>
      </c>
      <c r="N48" s="92">
        <f t="shared" si="24"/>
        <v>0.9100568220646355</v>
      </c>
      <c r="O48" s="92">
        <f t="shared" si="25"/>
        <v>407.0619806284075</v>
      </c>
      <c r="P48" s="91"/>
      <c r="Q48" s="92">
        <f t="shared" si="26"/>
        <v>0</v>
      </c>
      <c r="R48" s="92">
        <f t="shared" si="27"/>
        <v>0</v>
      </c>
      <c r="S48" s="92">
        <f t="shared" si="28"/>
        <v>0</v>
      </c>
      <c r="T48" s="92">
        <f t="shared" si="29"/>
        <v>0</v>
      </c>
    </row>
    <row r="49" spans="1:20" ht="19.5" customHeight="1">
      <c r="A49" s="71">
        <v>39</v>
      </c>
      <c r="B49" s="91">
        <f>B50+2205</f>
        <v>15205</v>
      </c>
      <c r="C49" s="92">
        <f t="shared" si="15"/>
        <v>51.89419795221843</v>
      </c>
      <c r="D49" s="92">
        <f t="shared" si="16"/>
        <v>0.21118055555555543</v>
      </c>
      <c r="E49" s="92">
        <f t="shared" si="17"/>
        <v>3.3472118055555535</v>
      </c>
      <c r="F49" s="91">
        <v>20</v>
      </c>
      <c r="G49" s="94">
        <f t="shared" si="18"/>
        <v>0.8</v>
      </c>
      <c r="H49" s="91"/>
      <c r="I49" s="94">
        <f t="shared" si="19"/>
        <v>0</v>
      </c>
      <c r="J49" s="97">
        <f t="shared" si="20"/>
        <v>203.66334555704438</v>
      </c>
      <c r="K49" s="92">
        <f t="shared" si="21"/>
        <v>2.0772304688145016</v>
      </c>
      <c r="L49" s="92">
        <f t="shared" si="22"/>
        <v>0</v>
      </c>
      <c r="M49" s="92">
        <f t="shared" si="23"/>
        <v>0</v>
      </c>
      <c r="N49" s="92">
        <f t="shared" si="24"/>
        <v>0.6722085974978278</v>
      </c>
      <c r="O49" s="92">
        <f t="shared" si="25"/>
        <v>222.09135188732336</v>
      </c>
      <c r="P49" s="91"/>
      <c r="Q49" s="92">
        <f t="shared" si="26"/>
        <v>0</v>
      </c>
      <c r="R49" s="92">
        <f t="shared" si="27"/>
        <v>0</v>
      </c>
      <c r="S49" s="92">
        <f t="shared" si="28"/>
        <v>0</v>
      </c>
      <c r="T49" s="92">
        <f t="shared" si="29"/>
        <v>0</v>
      </c>
    </row>
    <row r="50" spans="1:20" ht="19.5" customHeight="1">
      <c r="A50" s="71">
        <v>40</v>
      </c>
      <c r="B50" s="91">
        <f>B51</f>
        <v>13000</v>
      </c>
      <c r="C50" s="92">
        <f t="shared" si="15"/>
        <v>44.36860068259386</v>
      </c>
      <c r="D50" s="92">
        <f t="shared" si="16"/>
        <v>0.18055555555555547</v>
      </c>
      <c r="E50" s="92">
        <f t="shared" si="17"/>
        <v>2.861805555555554</v>
      </c>
      <c r="F50" s="91">
        <v>20</v>
      </c>
      <c r="G50" s="94">
        <f t="shared" si="18"/>
        <v>0.8</v>
      </c>
      <c r="H50" s="91"/>
      <c r="I50" s="94">
        <f t="shared" si="19"/>
        <v>0</v>
      </c>
      <c r="J50" s="97">
        <f t="shared" si="20"/>
        <v>150.4735563593138</v>
      </c>
      <c r="K50" s="92">
        <f t="shared" si="21"/>
        <v>1.5347300475965862</v>
      </c>
      <c r="L50" s="92">
        <f t="shared" si="22"/>
        <v>0</v>
      </c>
      <c r="M50" s="92">
        <f t="shared" si="23"/>
        <v>0</v>
      </c>
      <c r="N50" s="92">
        <f t="shared" si="24"/>
        <v>0.5747261931911714</v>
      </c>
      <c r="O50" s="92">
        <f t="shared" si="25"/>
        <v>162.3474618943177</v>
      </c>
      <c r="P50" s="91"/>
      <c r="Q50" s="92">
        <f t="shared" si="26"/>
        <v>0</v>
      </c>
      <c r="R50" s="92">
        <f t="shared" si="27"/>
        <v>0</v>
      </c>
      <c r="S50" s="92">
        <f t="shared" si="28"/>
        <v>0</v>
      </c>
      <c r="T50" s="92">
        <f t="shared" si="29"/>
        <v>0</v>
      </c>
    </row>
    <row r="51" spans="1:20" ht="19.5" customHeight="1">
      <c r="A51" s="71">
        <v>41</v>
      </c>
      <c r="B51" s="91">
        <f>B52+3250</f>
        <v>13000</v>
      </c>
      <c r="C51" s="92">
        <f t="shared" si="15"/>
        <v>44.36860068259386</v>
      </c>
      <c r="D51" s="92">
        <f t="shared" si="16"/>
        <v>0.18055555555555547</v>
      </c>
      <c r="E51" s="92">
        <f t="shared" si="17"/>
        <v>2.861805555555554</v>
      </c>
      <c r="F51" s="91">
        <v>20</v>
      </c>
      <c r="G51" s="94">
        <f t="shared" si="18"/>
        <v>0.8</v>
      </c>
      <c r="H51" s="91"/>
      <c r="I51" s="94">
        <f t="shared" si="19"/>
        <v>0</v>
      </c>
      <c r="J51" s="97">
        <f t="shared" si="20"/>
        <v>150.4735563593138</v>
      </c>
      <c r="K51" s="92">
        <f t="shared" si="21"/>
        <v>1.5347300475965862</v>
      </c>
      <c r="L51" s="92">
        <f t="shared" si="22"/>
        <v>0</v>
      </c>
      <c r="M51" s="92">
        <f t="shared" si="23"/>
        <v>0</v>
      </c>
      <c r="N51" s="92">
        <f t="shared" si="24"/>
        <v>0.5747261931911714</v>
      </c>
      <c r="O51" s="92">
        <f t="shared" si="25"/>
        <v>162.3474618943177</v>
      </c>
      <c r="P51" s="91">
        <v>0</v>
      </c>
      <c r="Q51" s="92">
        <f t="shared" si="26"/>
        <v>0</v>
      </c>
      <c r="R51" s="92">
        <f t="shared" si="27"/>
        <v>0</v>
      </c>
      <c r="S51" s="92">
        <f t="shared" si="28"/>
        <v>0</v>
      </c>
      <c r="T51" s="92">
        <f t="shared" si="29"/>
        <v>0</v>
      </c>
    </row>
    <row r="52" spans="1:20" ht="19.5" customHeight="1">
      <c r="A52" s="71">
        <v>42</v>
      </c>
      <c r="B52" s="91">
        <f>B53+3250</f>
        <v>9750</v>
      </c>
      <c r="C52" s="92">
        <f>B52/293</f>
        <v>33.27645051194539</v>
      </c>
      <c r="D52" s="92">
        <f>B52*0.83/$F$5/3600</f>
        <v>0.1354166666666666</v>
      </c>
      <c r="E52" s="92">
        <f>D52*15.85</f>
        <v>2.1463541666666655</v>
      </c>
      <c r="F52" s="91">
        <v>20</v>
      </c>
      <c r="G52" s="94">
        <f>F52/25</f>
        <v>0.8</v>
      </c>
      <c r="H52" s="91">
        <v>10</v>
      </c>
      <c r="I52" s="94">
        <f>H52*3.28</f>
        <v>32.8</v>
      </c>
      <c r="J52" s="97">
        <f>6.9938*10^-12*(0.2/F52+0.0904836*F52/(0.86*B52/25))^0.25*(0.86*B52/25)^2/(F52/1000)^5</f>
        <v>86.6040584262187</v>
      </c>
      <c r="K52" s="92">
        <f>J52*8.33/249/3.28</f>
        <v>0.8833037108071332</v>
      </c>
      <c r="L52" s="92">
        <f>H52*J52</f>
        <v>866.0405842621869</v>
      </c>
      <c r="M52" s="92">
        <f>L52/249</f>
        <v>3.478074635591112</v>
      </c>
      <c r="N52" s="92">
        <f>D52*4000/(3.1415926*(F52^2))</f>
        <v>0.43104464489337857</v>
      </c>
      <c r="O52" s="92">
        <f>N52^2*983/2</f>
        <v>91.32044731555372</v>
      </c>
      <c r="P52" s="91">
        <v>1</v>
      </c>
      <c r="Q52" s="92">
        <f>O52*P52</f>
        <v>91.32044731555372</v>
      </c>
      <c r="R52" s="92">
        <f>Q52/249</f>
        <v>0.3667487843998141</v>
      </c>
      <c r="S52" s="92">
        <f>L52+Q52</f>
        <v>957.3610315777406</v>
      </c>
      <c r="T52" s="92">
        <f>S52/249</f>
        <v>3.8448234199909264</v>
      </c>
    </row>
    <row r="53" spans="1:20" ht="19.5" customHeight="1">
      <c r="A53" s="71">
        <v>43</v>
      </c>
      <c r="B53" s="91">
        <f>B54+1625*2</f>
        <v>6500</v>
      </c>
      <c r="C53" s="92">
        <f>B53/293</f>
        <v>22.18430034129693</v>
      </c>
      <c r="D53" s="92">
        <f>B53*0.83/$F$5/3600</f>
        <v>0.09027777777777773</v>
      </c>
      <c r="E53" s="92">
        <f>D53*15.85</f>
        <v>1.430902777777777</v>
      </c>
      <c r="F53" s="91">
        <v>20</v>
      </c>
      <c r="G53" s="94">
        <f>F53/25</f>
        <v>0.8</v>
      </c>
      <c r="H53" s="91">
        <v>11</v>
      </c>
      <c r="I53" s="94">
        <f>H53*3.28</f>
        <v>36.08</v>
      </c>
      <c r="J53" s="97">
        <f>6.9938*10^-12*(0.2/F53+0.0904836*F53/(0.86*B53/25))^0.25*(0.86*B53/25)^2/(F53/1000)^5</f>
        <v>40.07620103311379</v>
      </c>
      <c r="K53" s="92">
        <f>J53*8.33/249/3.28</f>
        <v>0.40875055662385873</v>
      </c>
      <c r="L53" s="92">
        <f>H53*J53</f>
        <v>440.8382113642517</v>
      </c>
      <c r="M53" s="92">
        <f>L53/249</f>
        <v>1.7704345837921756</v>
      </c>
      <c r="N53" s="92">
        <f>D53*4000/(3.1415926*(F53^2))</f>
        <v>0.2873630965955857</v>
      </c>
      <c r="O53" s="92">
        <f>N53^2*983/2</f>
        <v>40.58686547357942</v>
      </c>
      <c r="P53" s="91">
        <v>2</v>
      </c>
      <c r="Q53" s="92">
        <f>O53*P53</f>
        <v>81.17373094715884</v>
      </c>
      <c r="R53" s="92">
        <f>Q53/249</f>
        <v>0.3259989194665014</v>
      </c>
      <c r="S53" s="92">
        <f>L53+Q53</f>
        <v>522.0119423114106</v>
      </c>
      <c r="T53" s="92">
        <f>S53/249</f>
        <v>2.096433503258677</v>
      </c>
    </row>
    <row r="54" spans="1:20" ht="19.5" customHeight="1">
      <c r="A54" s="71">
        <v>44</v>
      </c>
      <c r="B54" s="91">
        <f>1625*2</f>
        <v>3250</v>
      </c>
      <c r="C54" s="92">
        <f>B54/293</f>
        <v>11.092150170648464</v>
      </c>
      <c r="D54" s="92">
        <f>B54*0.83/$F$5/3600</f>
        <v>0.04513888888888887</v>
      </c>
      <c r="E54" s="92">
        <f>D54*15.85</f>
        <v>0.7154513888888885</v>
      </c>
      <c r="F54" s="91">
        <v>15</v>
      </c>
      <c r="G54" s="94">
        <f>F54/25</f>
        <v>0.6</v>
      </c>
      <c r="H54" s="91">
        <v>12</v>
      </c>
      <c r="I54" s="94">
        <f>H54*3.28</f>
        <v>39.36</v>
      </c>
      <c r="J54" s="97">
        <f>6.9938*10^-12*(0.2/F54+0.0904836*F54/(0.86*B54/25))^0.25*(0.86*B54/25)^2/(F54/1000)^5</f>
        <v>45.98985512313103</v>
      </c>
      <c r="K54" s="92">
        <f>J54*8.33/249/3.28</f>
        <v>0.46906588938152793</v>
      </c>
      <c r="L54" s="92">
        <f>H54*J54</f>
        <v>551.8782614775723</v>
      </c>
      <c r="M54" s="92">
        <f>L54/249</f>
        <v>2.216378560150893</v>
      </c>
      <c r="N54" s="92">
        <f>D54*4000/(3.1415926*(F54^2))</f>
        <v>0.2554338636405206</v>
      </c>
      <c r="O54" s="92">
        <f>N54^2*983/2</f>
        <v>32.06863444826028</v>
      </c>
      <c r="P54" s="91">
        <v>3</v>
      </c>
      <c r="Q54" s="92">
        <f>O54*P54</f>
        <v>96.20590334478085</v>
      </c>
      <c r="R54" s="92">
        <f>Q54/249</f>
        <v>0.3863690897380757</v>
      </c>
      <c r="S54" s="92">
        <f>L54+Q54</f>
        <v>648.0841648223532</v>
      </c>
      <c r="T54" s="92">
        <f>S54/249</f>
        <v>2.6027476498889683</v>
      </c>
    </row>
    <row r="55" spans="1:20" s="103" customFormat="1" ht="19.5" customHeight="1">
      <c r="A55" s="99"/>
      <c r="B55" s="100"/>
      <c r="C55" s="100"/>
      <c r="D55" s="100"/>
      <c r="E55" s="100"/>
      <c r="F55" s="100"/>
      <c r="G55" s="101"/>
      <c r="H55" s="100"/>
      <c r="I55" s="101"/>
      <c r="J55" s="102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1:22" ht="19.5" customHeight="1">
      <c r="A56" s="71">
        <v>45</v>
      </c>
      <c r="B56" s="105">
        <f>2720+2720</f>
        <v>5440</v>
      </c>
      <c r="C56" s="92">
        <f>B56/293</f>
        <v>18.56655290102389</v>
      </c>
      <c r="D56" s="92">
        <f>B56*0.83/$F$5/3600</f>
        <v>0.07555555555555551</v>
      </c>
      <c r="E56" s="92">
        <f>D56*15.85</f>
        <v>1.1975555555555548</v>
      </c>
      <c r="F56" s="91">
        <v>15</v>
      </c>
      <c r="G56" s="94">
        <f>F56/25</f>
        <v>0.6</v>
      </c>
      <c r="H56" s="91">
        <v>10</v>
      </c>
      <c r="I56" s="94">
        <f>H56*3.28</f>
        <v>32.8</v>
      </c>
      <c r="J56" s="97">
        <f>6.9938*10^-12*(0.2/F56+0.0904836*F56/(0.86*B56/25))^0.25*(0.86*B56/25)^2/(F56/1000)^5</f>
        <v>122.17015496906285</v>
      </c>
      <c r="K56" s="92">
        <f>J56*8.33/249/3.28</f>
        <v>1.2460542057159048</v>
      </c>
      <c r="L56" s="92">
        <f>H56*J56</f>
        <v>1221.7015496906286</v>
      </c>
      <c r="M56" s="92">
        <f>L56/249</f>
        <v>4.906431926468388</v>
      </c>
      <c r="N56" s="92">
        <f>D56*4000/(3.1415926*(F56^2))</f>
        <v>0.42755699021674837</v>
      </c>
      <c r="O56" s="92">
        <f>N56^2*983/2</f>
        <v>89.84864761259509</v>
      </c>
      <c r="P56" s="91">
        <v>1</v>
      </c>
      <c r="Q56" s="92">
        <f>O56*P56</f>
        <v>89.84864761259509</v>
      </c>
      <c r="R56" s="92">
        <f>Q56/249</f>
        <v>0.36083794221925736</v>
      </c>
      <c r="S56" s="92">
        <f>L56+Q56</f>
        <v>1311.5501973032237</v>
      </c>
      <c r="T56" s="92">
        <f>S56/249</f>
        <v>5.267269868687645</v>
      </c>
      <c r="U56" s="85" t="s">
        <v>136</v>
      </c>
      <c r="V56" s="85" t="s">
        <v>137</v>
      </c>
    </row>
    <row r="57" spans="1:20" ht="19.5" customHeight="1">
      <c r="A57" s="71">
        <v>46</v>
      </c>
      <c r="B57" s="105">
        <f>B56+1625+1625</f>
        <v>8690</v>
      </c>
      <c r="C57" s="92">
        <f aca="true" t="shared" si="30" ref="C57:C121">B57/293</f>
        <v>29.658703071672356</v>
      </c>
      <c r="D57" s="92">
        <f aca="true" t="shared" si="31" ref="D57:D66">B57*0.83/$F$5/3600</f>
        <v>0.12069444444444438</v>
      </c>
      <c r="E57" s="92">
        <f aca="true" t="shared" si="32" ref="E57:E121">D57*15.85</f>
        <v>1.9130069444444433</v>
      </c>
      <c r="F57" s="91">
        <v>20</v>
      </c>
      <c r="G57" s="94">
        <f aca="true" t="shared" si="33" ref="G57:G121">F57/25</f>
        <v>0.8</v>
      </c>
      <c r="H57" s="91">
        <v>10</v>
      </c>
      <c r="I57" s="94">
        <f aca="true" t="shared" si="34" ref="I57:I121">H57*3.28</f>
        <v>32.8</v>
      </c>
      <c r="J57" s="97">
        <f aca="true" t="shared" si="35" ref="J57:J66">6.9938*10^-12*(0.2/F57+0.0904836*F57/(0.86*B57/25))^0.25*(0.86*B57/25)^2/(F57/1000)^5</f>
        <v>69.52060216222294</v>
      </c>
      <c r="K57" s="92">
        <f aca="true" t="shared" si="36" ref="K57:K121">J57*8.33/249/3.28</f>
        <v>0.7090638358449862</v>
      </c>
      <c r="L57" s="92">
        <f aca="true" t="shared" si="37" ref="L57:L66">H57*J57</f>
        <v>695.2060216222294</v>
      </c>
      <c r="M57" s="92">
        <f aca="true" t="shared" si="38" ref="M57:M121">L57/249</f>
        <v>2.7919920547077486</v>
      </c>
      <c r="N57" s="92">
        <f aca="true" t="shared" si="39" ref="N57:N65">D57*4000/(3.1415926*(F57^2))</f>
        <v>0.38418235529471384</v>
      </c>
      <c r="O57" s="92">
        <f aca="true" t="shared" si="40" ref="O57:O66">N57^2*983/2</f>
        <v>72.54347436187862</v>
      </c>
      <c r="P57" s="91">
        <v>1</v>
      </c>
      <c r="Q57" s="92">
        <f aca="true" t="shared" si="41" ref="Q57:Q66">O57*P57</f>
        <v>72.54347436187862</v>
      </c>
      <c r="R57" s="92">
        <f aca="true" t="shared" si="42" ref="R57:R121">Q57/249</f>
        <v>0.291339254465376</v>
      </c>
      <c r="S57" s="92">
        <f aca="true" t="shared" si="43" ref="S57:S66">L57+Q57</f>
        <v>767.7494959841081</v>
      </c>
      <c r="T57" s="92">
        <f aca="true" t="shared" si="44" ref="T57:T121">S57/249</f>
        <v>3.0833313091731247</v>
      </c>
    </row>
    <row r="58" spans="1:20" ht="19.5" customHeight="1">
      <c r="A58" s="71">
        <v>47</v>
      </c>
      <c r="B58" s="106">
        <f>B57+1625</f>
        <v>10315</v>
      </c>
      <c r="C58" s="92">
        <f t="shared" si="30"/>
        <v>35.20477815699659</v>
      </c>
      <c r="D58" s="92">
        <f t="shared" si="31"/>
        <v>0.1432638888888888</v>
      </c>
      <c r="E58" s="92">
        <f t="shared" si="32"/>
        <v>2.2707326388888873</v>
      </c>
      <c r="F58" s="91">
        <v>20</v>
      </c>
      <c r="G58" s="94">
        <f t="shared" si="33"/>
        <v>0.8</v>
      </c>
      <c r="H58" s="91">
        <v>10</v>
      </c>
      <c r="I58" s="94">
        <f t="shared" si="34"/>
        <v>32.8</v>
      </c>
      <c r="J58" s="97">
        <f t="shared" si="35"/>
        <v>96.46349373010308</v>
      </c>
      <c r="K58" s="92">
        <f t="shared" si="36"/>
        <v>0.9838633837444395</v>
      </c>
      <c r="L58" s="92">
        <f t="shared" si="37"/>
        <v>964.6349373010308</v>
      </c>
      <c r="M58" s="92">
        <f t="shared" si="38"/>
        <v>3.874035892775224</v>
      </c>
      <c r="N58" s="92">
        <f t="shared" si="39"/>
        <v>0.4560231294436102</v>
      </c>
      <c r="O58" s="92">
        <f t="shared" si="40"/>
        <v>102.2109119897777</v>
      </c>
      <c r="P58" s="91">
        <v>1</v>
      </c>
      <c r="Q58" s="92">
        <f t="shared" si="41"/>
        <v>102.2109119897777</v>
      </c>
      <c r="R58" s="92">
        <f t="shared" si="42"/>
        <v>0.4104855903203924</v>
      </c>
      <c r="S58" s="92">
        <f t="shared" si="43"/>
        <v>1066.8458492908085</v>
      </c>
      <c r="T58" s="92">
        <f t="shared" si="44"/>
        <v>4.284521483095617</v>
      </c>
    </row>
    <row r="59" spans="1:20" ht="19.5" customHeight="1">
      <c r="A59" s="71">
        <v>48</v>
      </c>
      <c r="B59" s="106">
        <f>B58+6405</f>
        <v>16720</v>
      </c>
      <c r="C59" s="92">
        <f t="shared" si="30"/>
        <v>57.06484641638225</v>
      </c>
      <c r="D59" s="92">
        <f t="shared" si="31"/>
        <v>0.23222222222222205</v>
      </c>
      <c r="E59" s="92">
        <f t="shared" si="32"/>
        <v>3.6807222222222196</v>
      </c>
      <c r="F59" s="91">
        <v>25</v>
      </c>
      <c r="G59" s="94">
        <f t="shared" si="33"/>
        <v>1</v>
      </c>
      <c r="H59" s="91">
        <v>10</v>
      </c>
      <c r="I59" s="94">
        <f t="shared" si="34"/>
        <v>32.8</v>
      </c>
      <c r="J59" s="97">
        <f t="shared" si="35"/>
        <v>78.30496201997582</v>
      </c>
      <c r="K59" s="92">
        <f t="shared" si="36"/>
        <v>0.7986584553168756</v>
      </c>
      <c r="L59" s="92">
        <f t="shared" si="37"/>
        <v>783.0496201997582</v>
      </c>
      <c r="M59" s="92">
        <f t="shared" si="38"/>
        <v>3.1447775911636877</v>
      </c>
      <c r="N59" s="92">
        <f t="shared" si="39"/>
        <v>0.47307923446923744</v>
      </c>
      <c r="O59" s="92">
        <f t="shared" si="40"/>
        <v>109.99964736526887</v>
      </c>
      <c r="P59" s="91">
        <v>1</v>
      </c>
      <c r="Q59" s="92">
        <f t="shared" si="41"/>
        <v>109.99964736526887</v>
      </c>
      <c r="R59" s="92">
        <f t="shared" si="42"/>
        <v>0.4417656520693529</v>
      </c>
      <c r="S59" s="92">
        <f t="shared" si="43"/>
        <v>893.0492675650271</v>
      </c>
      <c r="T59" s="92">
        <f t="shared" si="44"/>
        <v>3.5865432432330406</v>
      </c>
    </row>
    <row r="60" spans="1:20" ht="19.5" customHeight="1">
      <c r="A60" s="71">
        <v>49</v>
      </c>
      <c r="B60" s="106">
        <f>B59+9345</f>
        <v>26065</v>
      </c>
      <c r="C60" s="92">
        <f t="shared" si="30"/>
        <v>88.95904436860069</v>
      </c>
      <c r="D60" s="92">
        <f t="shared" si="31"/>
        <v>0.3620138888888887</v>
      </c>
      <c r="E60" s="92">
        <f t="shared" si="32"/>
        <v>5.737920138888885</v>
      </c>
      <c r="F60" s="91">
        <v>25</v>
      </c>
      <c r="G60" s="94">
        <f t="shared" si="33"/>
        <v>1</v>
      </c>
      <c r="H60" s="91">
        <v>10</v>
      </c>
      <c r="I60" s="94">
        <f t="shared" si="34"/>
        <v>32.8</v>
      </c>
      <c r="J60" s="97">
        <f t="shared" si="35"/>
        <v>184.40767424272704</v>
      </c>
      <c r="K60" s="92">
        <f t="shared" si="36"/>
        <v>1.8808354472057944</v>
      </c>
      <c r="L60" s="92">
        <f t="shared" si="37"/>
        <v>1844.0767424272703</v>
      </c>
      <c r="M60" s="92">
        <f t="shared" si="38"/>
        <v>7.405930692478997</v>
      </c>
      <c r="N60" s="92">
        <f t="shared" si="39"/>
        <v>0.7374886511029112</v>
      </c>
      <c r="O60" s="92">
        <f t="shared" si="40"/>
        <v>267.32169441349816</v>
      </c>
      <c r="P60" s="91">
        <v>1</v>
      </c>
      <c r="Q60" s="92">
        <f t="shared" si="41"/>
        <v>267.32169441349816</v>
      </c>
      <c r="R60" s="92">
        <f t="shared" si="42"/>
        <v>1.0735811020622417</v>
      </c>
      <c r="S60" s="92">
        <f t="shared" si="43"/>
        <v>2111.3984368407687</v>
      </c>
      <c r="T60" s="92">
        <f t="shared" si="44"/>
        <v>8.47951179454124</v>
      </c>
    </row>
    <row r="61" spans="1:20" ht="19.5" customHeight="1">
      <c r="A61" s="71">
        <v>50</v>
      </c>
      <c r="B61" s="106">
        <f>B60+5440</f>
        <v>31505</v>
      </c>
      <c r="C61" s="92">
        <f t="shared" si="30"/>
        <v>107.52559726962457</v>
      </c>
      <c r="D61" s="92">
        <f t="shared" si="31"/>
        <v>0.4375694444444442</v>
      </c>
      <c r="E61" s="92">
        <f t="shared" si="32"/>
        <v>6.93547569444444</v>
      </c>
      <c r="F61" s="91">
        <v>25</v>
      </c>
      <c r="G61" s="94">
        <f t="shared" si="33"/>
        <v>1</v>
      </c>
      <c r="H61" s="91">
        <v>10</v>
      </c>
      <c r="I61" s="94">
        <f t="shared" si="34"/>
        <v>32.8</v>
      </c>
      <c r="J61" s="97">
        <f t="shared" si="35"/>
        <v>266.5827749424193</v>
      </c>
      <c r="K61" s="92">
        <f t="shared" si="36"/>
        <v>2.718966739237869</v>
      </c>
      <c r="L61" s="92">
        <f t="shared" si="37"/>
        <v>2665.827749424193</v>
      </c>
      <c r="M61" s="92">
        <f t="shared" si="38"/>
        <v>10.706135539856197</v>
      </c>
      <c r="N61" s="92">
        <f t="shared" si="39"/>
        <v>0.8914091675809406</v>
      </c>
      <c r="O61" s="92">
        <f t="shared" si="40"/>
        <v>390.5509644392703</v>
      </c>
      <c r="P61" s="91">
        <v>1</v>
      </c>
      <c r="Q61" s="92">
        <f t="shared" si="41"/>
        <v>390.5509644392703</v>
      </c>
      <c r="R61" s="92">
        <f t="shared" si="42"/>
        <v>1.5684777688324107</v>
      </c>
      <c r="S61" s="92">
        <f t="shared" si="43"/>
        <v>3056.3787138634634</v>
      </c>
      <c r="T61" s="92">
        <f t="shared" si="44"/>
        <v>12.274613308688608</v>
      </c>
    </row>
    <row r="62" spans="1:20" ht="19.5" customHeight="1">
      <c r="A62" s="71">
        <v>51</v>
      </c>
      <c r="B62" s="106">
        <f>B61+4700</f>
        <v>36205</v>
      </c>
      <c r="C62" s="92">
        <f t="shared" si="30"/>
        <v>123.5665529010239</v>
      </c>
      <c r="D62" s="92">
        <f t="shared" si="31"/>
        <v>0.5028472222222219</v>
      </c>
      <c r="E62" s="92">
        <f t="shared" si="32"/>
        <v>7.970128472222217</v>
      </c>
      <c r="F62" s="91">
        <v>32</v>
      </c>
      <c r="G62" s="94">
        <f t="shared" si="33"/>
        <v>1.28</v>
      </c>
      <c r="H62" s="91">
        <v>10</v>
      </c>
      <c r="I62" s="94">
        <f t="shared" si="34"/>
        <v>32.8</v>
      </c>
      <c r="J62" s="97">
        <f t="shared" si="35"/>
        <v>98.3838464065249</v>
      </c>
      <c r="K62" s="92">
        <f t="shared" si="36"/>
        <v>1.003449701937448</v>
      </c>
      <c r="L62" s="92">
        <f t="shared" si="37"/>
        <v>983.8384640652489</v>
      </c>
      <c r="M62" s="92">
        <f t="shared" si="38"/>
        <v>3.951158490221883</v>
      </c>
      <c r="N62" s="92">
        <f t="shared" si="39"/>
        <v>0.6252392375146142</v>
      </c>
      <c r="O62" s="92">
        <f t="shared" si="40"/>
        <v>192.13919717884127</v>
      </c>
      <c r="P62" s="91">
        <v>1</v>
      </c>
      <c r="Q62" s="92">
        <f t="shared" si="41"/>
        <v>192.13919717884127</v>
      </c>
      <c r="R62" s="92">
        <f t="shared" si="42"/>
        <v>0.7716433621640212</v>
      </c>
      <c r="S62" s="92">
        <f t="shared" si="43"/>
        <v>1175.97766124409</v>
      </c>
      <c r="T62" s="92">
        <f t="shared" si="44"/>
        <v>4.722801852385904</v>
      </c>
    </row>
    <row r="63" spans="1:20" ht="19.5" customHeight="1">
      <c r="A63" s="71">
        <v>52</v>
      </c>
      <c r="B63" s="106">
        <f>B62+9742</f>
        <v>45947</v>
      </c>
      <c r="C63" s="92">
        <f t="shared" si="30"/>
        <v>156.81569965870307</v>
      </c>
      <c r="D63" s="92">
        <f t="shared" si="31"/>
        <v>0.6381527777777773</v>
      </c>
      <c r="E63" s="92">
        <f t="shared" si="32"/>
        <v>10.114721527777771</v>
      </c>
      <c r="F63" s="91">
        <v>32</v>
      </c>
      <c r="G63" s="94">
        <f t="shared" si="33"/>
        <v>1.28</v>
      </c>
      <c r="H63" s="91">
        <v>10</v>
      </c>
      <c r="I63" s="94">
        <f t="shared" si="34"/>
        <v>32.8</v>
      </c>
      <c r="J63" s="97">
        <f t="shared" si="35"/>
        <v>156.12520872637512</v>
      </c>
      <c r="K63" s="92">
        <f t="shared" si="36"/>
        <v>1.5923731372939378</v>
      </c>
      <c r="L63" s="92">
        <f t="shared" si="37"/>
        <v>1561.2520872637513</v>
      </c>
      <c r="M63" s="92">
        <f t="shared" si="38"/>
        <v>6.270088703870487</v>
      </c>
      <c r="N63" s="92">
        <f t="shared" si="39"/>
        <v>0.7934778965911884</v>
      </c>
      <c r="O63" s="92">
        <f t="shared" si="40"/>
        <v>309.4519252241687</v>
      </c>
      <c r="P63" s="91">
        <v>1</v>
      </c>
      <c r="Q63" s="92">
        <f t="shared" si="41"/>
        <v>309.4519252241687</v>
      </c>
      <c r="R63" s="92">
        <f t="shared" si="42"/>
        <v>1.24277881616132</v>
      </c>
      <c r="S63" s="92">
        <f t="shared" si="43"/>
        <v>1870.70401248792</v>
      </c>
      <c r="T63" s="92">
        <f t="shared" si="44"/>
        <v>7.512867520031807</v>
      </c>
    </row>
    <row r="64" spans="1:20" ht="19.5" customHeight="1">
      <c r="A64" s="71">
        <v>53</v>
      </c>
      <c r="B64" s="106">
        <f>B63+5400</f>
        <v>51347</v>
      </c>
      <c r="C64" s="92">
        <f t="shared" si="30"/>
        <v>175.2457337883959</v>
      </c>
      <c r="D64" s="92">
        <f t="shared" si="31"/>
        <v>0.7131527777777774</v>
      </c>
      <c r="E64" s="92">
        <f t="shared" si="32"/>
        <v>11.303471527777772</v>
      </c>
      <c r="F64" s="91">
        <v>32</v>
      </c>
      <c r="G64" s="94">
        <f t="shared" si="33"/>
        <v>1.28</v>
      </c>
      <c r="H64" s="91">
        <v>10</v>
      </c>
      <c r="I64" s="94">
        <f t="shared" si="34"/>
        <v>32.8</v>
      </c>
      <c r="J64" s="97">
        <f t="shared" si="35"/>
        <v>193.8069470158001</v>
      </c>
      <c r="K64" s="92">
        <f t="shared" si="36"/>
        <v>1.9767017688334005</v>
      </c>
      <c r="L64" s="92">
        <f t="shared" si="37"/>
        <v>1938.069470158001</v>
      </c>
      <c r="M64" s="92">
        <f t="shared" si="38"/>
        <v>7.78341152673896</v>
      </c>
      <c r="N64" s="92">
        <f t="shared" si="39"/>
        <v>0.8867327476498521</v>
      </c>
      <c r="O64" s="92">
        <f t="shared" si="40"/>
        <v>386.4639756684136</v>
      </c>
      <c r="P64" s="91">
        <v>1</v>
      </c>
      <c r="Q64" s="92">
        <f t="shared" si="41"/>
        <v>386.4639756684136</v>
      </c>
      <c r="R64" s="92">
        <f t="shared" si="42"/>
        <v>1.552064159310898</v>
      </c>
      <c r="S64" s="92">
        <f t="shared" si="43"/>
        <v>2324.5334458264147</v>
      </c>
      <c r="T64" s="92">
        <f t="shared" si="44"/>
        <v>9.335475686049858</v>
      </c>
    </row>
    <row r="65" spans="1:20" ht="19.5" customHeight="1">
      <c r="A65" s="71">
        <v>54</v>
      </c>
      <c r="B65" s="106">
        <f>B64+6305</f>
        <v>57652</v>
      </c>
      <c r="C65" s="92">
        <f t="shared" si="30"/>
        <v>196.76450511945393</v>
      </c>
      <c r="D65" s="92">
        <f t="shared" si="31"/>
        <v>0.8007222222222217</v>
      </c>
      <c r="E65" s="92">
        <f t="shared" si="32"/>
        <v>12.691447222222212</v>
      </c>
      <c r="F65" s="91">
        <v>32</v>
      </c>
      <c r="G65" s="94">
        <f t="shared" si="33"/>
        <v>1.28</v>
      </c>
      <c r="H65" s="91">
        <v>10</v>
      </c>
      <c r="I65" s="94">
        <f t="shared" si="34"/>
        <v>32.8</v>
      </c>
      <c r="J65" s="97">
        <f t="shared" si="35"/>
        <v>242.92503661882304</v>
      </c>
      <c r="K65" s="92">
        <f t="shared" si="36"/>
        <v>2.477673566258688</v>
      </c>
      <c r="L65" s="92">
        <f t="shared" si="37"/>
        <v>2429.2503661882306</v>
      </c>
      <c r="M65" s="92">
        <f t="shared" si="38"/>
        <v>9.756025567021007</v>
      </c>
      <c r="N65" s="92">
        <f t="shared" si="39"/>
        <v>0.9956164209692732</v>
      </c>
      <c r="O65" s="92">
        <f t="shared" si="40"/>
        <v>487.2003863613513</v>
      </c>
      <c r="P65" s="91">
        <v>1</v>
      </c>
      <c r="Q65" s="92">
        <f t="shared" si="41"/>
        <v>487.2003863613513</v>
      </c>
      <c r="R65" s="92">
        <f t="shared" si="42"/>
        <v>1.9566280576761097</v>
      </c>
      <c r="S65" s="92">
        <f t="shared" si="43"/>
        <v>2916.450752549582</v>
      </c>
      <c r="T65" s="92">
        <f t="shared" si="44"/>
        <v>11.712653624697117</v>
      </c>
    </row>
    <row r="66" spans="1:20" ht="19.5" customHeight="1">
      <c r="A66" s="71">
        <v>55</v>
      </c>
      <c r="B66" s="106">
        <f>B65+1840</f>
        <v>59492</v>
      </c>
      <c r="C66" s="92">
        <f t="shared" si="30"/>
        <v>203.0443686006826</v>
      </c>
      <c r="D66" s="92">
        <f t="shared" si="31"/>
        <v>0.8262777777777773</v>
      </c>
      <c r="E66" s="92">
        <f t="shared" si="32"/>
        <v>13.09650277777777</v>
      </c>
      <c r="F66" s="91">
        <v>32</v>
      </c>
      <c r="G66" s="94">
        <f t="shared" si="33"/>
        <v>1.28</v>
      </c>
      <c r="H66" s="91">
        <v>10</v>
      </c>
      <c r="I66" s="94">
        <f t="shared" si="34"/>
        <v>32.8</v>
      </c>
      <c r="J66" s="97">
        <f t="shared" si="35"/>
        <v>258.29910831179814</v>
      </c>
      <c r="K66" s="92">
        <f t="shared" si="36"/>
        <v>2.6344788571815045</v>
      </c>
      <c r="L66" s="92">
        <f t="shared" si="37"/>
        <v>2582.9910831179814</v>
      </c>
      <c r="M66" s="92">
        <f t="shared" si="38"/>
        <v>10.373458165132455</v>
      </c>
      <c r="N66" s="92">
        <f>D66*4000/(3.1415926*(F66^2))</f>
        <v>1.02739214799667</v>
      </c>
      <c r="O66" s="92">
        <f t="shared" si="40"/>
        <v>518.7952685636013</v>
      </c>
      <c r="P66" s="91">
        <v>1</v>
      </c>
      <c r="Q66" s="92">
        <f t="shared" si="41"/>
        <v>518.7952685636013</v>
      </c>
      <c r="R66" s="92">
        <f t="shared" si="42"/>
        <v>2.0835151347935796</v>
      </c>
      <c r="S66" s="92">
        <f t="shared" si="43"/>
        <v>3101.786351681583</v>
      </c>
      <c r="T66" s="92">
        <f t="shared" si="44"/>
        <v>12.456973299926036</v>
      </c>
    </row>
    <row r="67" spans="1:20" ht="19.5" customHeight="1">
      <c r="A67" s="71">
        <v>56</v>
      </c>
      <c r="B67" s="106">
        <f>B66+5440</f>
        <v>64932</v>
      </c>
      <c r="C67" s="92">
        <f t="shared" si="30"/>
        <v>221.61092150170649</v>
      </c>
      <c r="D67" s="92">
        <f>B67*0.83/$F$5/3600</f>
        <v>0.9018333333333328</v>
      </c>
      <c r="E67" s="92">
        <f t="shared" si="32"/>
        <v>14.294058333333325</v>
      </c>
      <c r="F67" s="91">
        <v>40</v>
      </c>
      <c r="G67" s="94">
        <f t="shared" si="33"/>
        <v>1.6</v>
      </c>
      <c r="H67" s="91">
        <v>10</v>
      </c>
      <c r="I67" s="94">
        <f t="shared" si="34"/>
        <v>32.8</v>
      </c>
      <c r="J67" s="97">
        <f>6.9938*10^-12*(0.2/F67+0.0904836*F67/(0.86*B67/25))^0.25*(0.86*B67/25)^2/(F67/1000)^5</f>
        <v>97.20042584529033</v>
      </c>
      <c r="K67" s="92">
        <f t="shared" si="36"/>
        <v>0.9913796004643801</v>
      </c>
      <c r="L67" s="92">
        <f>H67*J67</f>
        <v>972.0042584529033</v>
      </c>
      <c r="M67" s="92">
        <f t="shared" si="38"/>
        <v>3.9036315600518203</v>
      </c>
      <c r="N67" s="92">
        <f>D67*4000/(3.1415926*(F67^2))</f>
        <v>0.7176561764670989</v>
      </c>
      <c r="O67" s="92">
        <f>N67^2*983/2</f>
        <v>253.1374355159062</v>
      </c>
      <c r="P67" s="91">
        <v>1</v>
      </c>
      <c r="Q67" s="92">
        <f>O67*P67</f>
        <v>253.1374355159062</v>
      </c>
      <c r="R67" s="92">
        <f t="shared" si="42"/>
        <v>1.0166162068911895</v>
      </c>
      <c r="S67" s="92">
        <f>L67+Q67</f>
        <v>1225.1416939688095</v>
      </c>
      <c r="T67" s="92">
        <f t="shared" si="44"/>
        <v>4.92024776694301</v>
      </c>
    </row>
    <row r="68" spans="1:20" ht="19.5" customHeight="1">
      <c r="A68" s="71">
        <v>57</v>
      </c>
      <c r="B68" s="106">
        <f>B67+4360</f>
        <v>69292</v>
      </c>
      <c r="C68" s="92">
        <f t="shared" si="30"/>
        <v>236.49146757679182</v>
      </c>
      <c r="D68" s="92">
        <f aca="true" t="shared" si="45" ref="D68:D100">B68*0.83/$F$5/3600</f>
        <v>0.9623888888888884</v>
      </c>
      <c r="E68" s="92">
        <f t="shared" si="32"/>
        <v>15.253863888888882</v>
      </c>
      <c r="F68" s="91">
        <v>40</v>
      </c>
      <c r="G68" s="94">
        <f t="shared" si="33"/>
        <v>1.6</v>
      </c>
      <c r="H68" s="91">
        <v>10</v>
      </c>
      <c r="I68" s="94">
        <f t="shared" si="34"/>
        <v>32.8</v>
      </c>
      <c r="J68" s="97">
        <f aca="true" t="shared" si="46" ref="J68:J77">6.9938*10^-12*(0.2/F68+0.0904836*F68/(0.86*B68/25))^0.25*(0.86*B68/25)^2/(F68/1000)^5</f>
        <v>110.26348289505788</v>
      </c>
      <c r="K68" s="92">
        <f t="shared" si="36"/>
        <v>1.1246140813446863</v>
      </c>
      <c r="L68" s="92">
        <f aca="true" t="shared" si="47" ref="L68:L77">H68*J68</f>
        <v>1102.6348289505788</v>
      </c>
      <c r="M68" s="92">
        <f t="shared" si="38"/>
        <v>4.428252325102727</v>
      </c>
      <c r="N68" s="92">
        <f aca="true" t="shared" si="48" ref="N68:N77">D68*4000/(3.1415926*(F68^2))</f>
        <v>0.7658447572808202</v>
      </c>
      <c r="O68" s="92">
        <f aca="true" t="shared" si="49" ref="O68:O77">N68^2*983/2</f>
        <v>288.27369149309584</v>
      </c>
      <c r="P68" s="91">
        <v>1</v>
      </c>
      <c r="Q68" s="92">
        <f aca="true" t="shared" si="50" ref="Q68:Q77">O68*P68</f>
        <v>288.27369149309584</v>
      </c>
      <c r="R68" s="92">
        <f t="shared" si="42"/>
        <v>1.1577256686469712</v>
      </c>
      <c r="S68" s="92">
        <f aca="true" t="shared" si="51" ref="S68:S77">L68+Q68</f>
        <v>1390.9085204436747</v>
      </c>
      <c r="T68" s="92">
        <f t="shared" si="44"/>
        <v>5.585977993749697</v>
      </c>
    </row>
    <row r="69" spans="1:20" ht="19.5" customHeight="1">
      <c r="A69" s="71">
        <v>58</v>
      </c>
      <c r="B69" s="106">
        <f>B68+5400</f>
        <v>74692</v>
      </c>
      <c r="C69" s="92">
        <f t="shared" si="30"/>
        <v>254.92150170648463</v>
      </c>
      <c r="D69" s="92">
        <f t="shared" si="45"/>
        <v>1.0373888888888882</v>
      </c>
      <c r="E69" s="92">
        <f t="shared" si="32"/>
        <v>16.44261388888888</v>
      </c>
      <c r="F69" s="91">
        <v>40</v>
      </c>
      <c r="G69" s="94">
        <f t="shared" si="33"/>
        <v>1.6</v>
      </c>
      <c r="H69" s="91">
        <v>10</v>
      </c>
      <c r="I69" s="94">
        <f t="shared" si="34"/>
        <v>32.8</v>
      </c>
      <c r="J69" s="97">
        <f t="shared" si="46"/>
        <v>127.57619228593387</v>
      </c>
      <c r="K69" s="92">
        <f t="shared" si="36"/>
        <v>1.3011921855003297</v>
      </c>
      <c r="L69" s="92">
        <f t="shared" si="47"/>
        <v>1275.7619228593387</v>
      </c>
      <c r="M69" s="92">
        <f t="shared" si="38"/>
        <v>5.123541858872846</v>
      </c>
      <c r="N69" s="92">
        <f t="shared" si="48"/>
        <v>0.8255278619583648</v>
      </c>
      <c r="O69" s="92">
        <f t="shared" si="49"/>
        <v>334.9554073023833</v>
      </c>
      <c r="P69" s="91">
        <v>1</v>
      </c>
      <c r="Q69" s="92">
        <f t="shared" si="50"/>
        <v>334.9554073023833</v>
      </c>
      <c r="R69" s="92">
        <f t="shared" si="42"/>
        <v>1.345202438965395</v>
      </c>
      <c r="S69" s="92">
        <f t="shared" si="51"/>
        <v>1610.717330161722</v>
      </c>
      <c r="T69" s="92">
        <f t="shared" si="44"/>
        <v>6.468744297838241</v>
      </c>
    </row>
    <row r="70" spans="1:20" ht="19.5" customHeight="1">
      <c r="A70" s="71">
        <v>59</v>
      </c>
      <c r="B70" s="106">
        <f>B69+4135</f>
        <v>78827</v>
      </c>
      <c r="C70" s="92">
        <f t="shared" si="30"/>
        <v>269.0341296928328</v>
      </c>
      <c r="D70" s="92">
        <f t="shared" si="45"/>
        <v>1.0948194444444437</v>
      </c>
      <c r="E70" s="92">
        <f t="shared" si="32"/>
        <v>17.352888194444432</v>
      </c>
      <c r="F70" s="91">
        <v>40</v>
      </c>
      <c r="G70" s="94">
        <f t="shared" si="33"/>
        <v>1.6</v>
      </c>
      <c r="H70" s="91">
        <v>10</v>
      </c>
      <c r="I70" s="94">
        <f t="shared" si="34"/>
        <v>32.8</v>
      </c>
      <c r="J70" s="97">
        <f t="shared" si="46"/>
        <v>141.6812303141096</v>
      </c>
      <c r="K70" s="92">
        <f t="shared" si="36"/>
        <v>1.4450541783188033</v>
      </c>
      <c r="L70" s="92">
        <f t="shared" si="47"/>
        <v>1416.812303141096</v>
      </c>
      <c r="M70" s="92">
        <f t="shared" si="38"/>
        <v>5.690009249562634</v>
      </c>
      <c r="N70" s="92">
        <f t="shared" si="48"/>
        <v>0.8712296467438551</v>
      </c>
      <c r="O70" s="92">
        <f t="shared" si="49"/>
        <v>373.06869935510514</v>
      </c>
      <c r="P70" s="91">
        <v>1</v>
      </c>
      <c r="Q70" s="92">
        <f t="shared" si="50"/>
        <v>373.06869935510514</v>
      </c>
      <c r="R70" s="92">
        <f t="shared" si="42"/>
        <v>1.4982678688960045</v>
      </c>
      <c r="S70" s="92">
        <f t="shared" si="51"/>
        <v>1789.881002496201</v>
      </c>
      <c r="T70" s="92">
        <f t="shared" si="44"/>
        <v>7.188277118458639</v>
      </c>
    </row>
    <row r="71" spans="1:20" ht="19.5" customHeight="1">
      <c r="A71" s="71">
        <v>60</v>
      </c>
      <c r="B71" s="106">
        <f>B70+4720</f>
        <v>83547</v>
      </c>
      <c r="C71" s="92">
        <f t="shared" si="30"/>
        <v>285.14334470989763</v>
      </c>
      <c r="D71" s="92">
        <f t="shared" si="45"/>
        <v>1.1603749999999993</v>
      </c>
      <c r="E71" s="92">
        <f t="shared" si="32"/>
        <v>18.39194374999999</v>
      </c>
      <c r="F71" s="91">
        <v>40</v>
      </c>
      <c r="G71" s="94">
        <f t="shared" si="33"/>
        <v>1.6</v>
      </c>
      <c r="H71" s="91">
        <v>10</v>
      </c>
      <c r="I71" s="94">
        <f t="shared" si="34"/>
        <v>32.8</v>
      </c>
      <c r="J71" s="97">
        <f t="shared" si="46"/>
        <v>158.68061318774002</v>
      </c>
      <c r="K71" s="92">
        <f t="shared" si="36"/>
        <v>1.6184365606987396</v>
      </c>
      <c r="L71" s="92">
        <f t="shared" si="47"/>
        <v>1586.8061318774003</v>
      </c>
      <c r="M71" s="92">
        <f t="shared" si="38"/>
        <v>6.372715389065864</v>
      </c>
      <c r="N71" s="92">
        <f t="shared" si="48"/>
        <v>0.9233971012027461</v>
      </c>
      <c r="O71" s="92">
        <f t="shared" si="49"/>
        <v>419.08347449948536</v>
      </c>
      <c r="P71" s="91">
        <v>1</v>
      </c>
      <c r="Q71" s="92">
        <f t="shared" si="50"/>
        <v>419.08347449948536</v>
      </c>
      <c r="R71" s="92">
        <f t="shared" si="42"/>
        <v>1.6830661626485357</v>
      </c>
      <c r="S71" s="92">
        <f t="shared" si="51"/>
        <v>2005.8896063768857</v>
      </c>
      <c r="T71" s="92">
        <f t="shared" si="44"/>
        <v>8.0557815517144</v>
      </c>
    </row>
    <row r="72" spans="1:20" ht="19.5" customHeight="1">
      <c r="A72" s="71">
        <v>61</v>
      </c>
      <c r="B72" s="106">
        <f>B71+18100</f>
        <v>101647</v>
      </c>
      <c r="C72" s="92">
        <f t="shared" si="30"/>
        <v>346.91808873720134</v>
      </c>
      <c r="D72" s="92">
        <f t="shared" si="45"/>
        <v>1.411763888888888</v>
      </c>
      <c r="E72" s="92">
        <f t="shared" si="32"/>
        <v>22.376457638888873</v>
      </c>
      <c r="F72" s="91">
        <v>40</v>
      </c>
      <c r="G72" s="94">
        <f t="shared" si="33"/>
        <v>1.6</v>
      </c>
      <c r="H72" s="91">
        <v>10</v>
      </c>
      <c r="I72" s="94">
        <f t="shared" si="34"/>
        <v>32.8</v>
      </c>
      <c r="J72" s="97">
        <f t="shared" si="46"/>
        <v>232.75024773720102</v>
      </c>
      <c r="K72" s="92">
        <f t="shared" si="36"/>
        <v>2.373897496878838</v>
      </c>
      <c r="L72" s="92">
        <f t="shared" si="47"/>
        <v>2327.50247737201</v>
      </c>
      <c r="M72" s="92">
        <f t="shared" si="38"/>
        <v>9.347399507518112</v>
      </c>
      <c r="N72" s="92">
        <f t="shared" si="48"/>
        <v>1.1234460261404422</v>
      </c>
      <c r="O72" s="92">
        <f t="shared" si="49"/>
        <v>620.3373735493442</v>
      </c>
      <c r="P72" s="91">
        <v>1</v>
      </c>
      <c r="Q72" s="92">
        <f t="shared" si="50"/>
        <v>620.3373735493442</v>
      </c>
      <c r="R72" s="92">
        <f t="shared" si="42"/>
        <v>2.491314753210218</v>
      </c>
      <c r="S72" s="92">
        <f t="shared" si="51"/>
        <v>2947.8398509213544</v>
      </c>
      <c r="T72" s="92">
        <f t="shared" si="44"/>
        <v>11.83871426072833</v>
      </c>
    </row>
    <row r="73" spans="1:20" ht="19.5" customHeight="1">
      <c r="A73" s="71">
        <v>62</v>
      </c>
      <c r="B73" s="106">
        <f>B72+18100</f>
        <v>119747</v>
      </c>
      <c r="C73" s="92">
        <f t="shared" si="30"/>
        <v>408.6928327645051</v>
      </c>
      <c r="D73" s="92">
        <f t="shared" si="45"/>
        <v>1.6631527777777768</v>
      </c>
      <c r="E73" s="92">
        <f t="shared" si="32"/>
        <v>26.36097152777776</v>
      </c>
      <c r="F73" s="91">
        <v>50</v>
      </c>
      <c r="G73" s="94">
        <f t="shared" si="33"/>
        <v>2</v>
      </c>
      <c r="H73" s="91">
        <v>10</v>
      </c>
      <c r="I73" s="94">
        <f t="shared" si="34"/>
        <v>32.8</v>
      </c>
      <c r="J73" s="97">
        <f t="shared" si="46"/>
        <v>101.47649938424372</v>
      </c>
      <c r="K73" s="92">
        <f t="shared" si="36"/>
        <v>1.0349927023591319</v>
      </c>
      <c r="L73" s="92">
        <f t="shared" si="47"/>
        <v>1014.7649938424372</v>
      </c>
      <c r="M73" s="92">
        <f t="shared" si="38"/>
        <v>4.075361421053965</v>
      </c>
      <c r="N73" s="92">
        <f t="shared" si="48"/>
        <v>0.8470367686900088</v>
      </c>
      <c r="O73" s="92">
        <f t="shared" si="49"/>
        <v>352.6371378125468</v>
      </c>
      <c r="P73" s="91">
        <v>1</v>
      </c>
      <c r="Q73" s="92">
        <f t="shared" si="50"/>
        <v>352.6371378125468</v>
      </c>
      <c r="R73" s="92">
        <f t="shared" si="42"/>
        <v>1.416213404869666</v>
      </c>
      <c r="S73" s="92">
        <f t="shared" si="51"/>
        <v>1367.402131654984</v>
      </c>
      <c r="T73" s="92">
        <f t="shared" si="44"/>
        <v>5.491574825923631</v>
      </c>
    </row>
    <row r="74" spans="1:20" ht="19.5" customHeight="1">
      <c r="A74" s="71">
        <v>63</v>
      </c>
      <c r="B74" s="106">
        <f>B73+3500</f>
        <v>123247</v>
      </c>
      <c r="C74" s="92">
        <f t="shared" si="30"/>
        <v>420.6382252559727</v>
      </c>
      <c r="D74" s="92">
        <f t="shared" si="45"/>
        <v>1.711763888888888</v>
      </c>
      <c r="E74" s="92">
        <f t="shared" si="32"/>
        <v>27.131457638888875</v>
      </c>
      <c r="F74" s="91">
        <v>50</v>
      </c>
      <c r="G74" s="94">
        <f t="shared" si="33"/>
        <v>2</v>
      </c>
      <c r="H74" s="91">
        <v>10</v>
      </c>
      <c r="I74" s="94">
        <f t="shared" si="34"/>
        <v>32.8</v>
      </c>
      <c r="J74" s="97">
        <f t="shared" si="46"/>
        <v>107.33037635632608</v>
      </c>
      <c r="K74" s="92">
        <f t="shared" si="36"/>
        <v>1.0946983483301456</v>
      </c>
      <c r="L74" s="92">
        <f t="shared" si="47"/>
        <v>1073.3037635632609</v>
      </c>
      <c r="M74" s="92">
        <f t="shared" si="38"/>
        <v>4.310456881780164</v>
      </c>
      <c r="N74" s="92">
        <f t="shared" si="48"/>
        <v>0.8717942047043976</v>
      </c>
      <c r="O74" s="92">
        <f t="shared" si="49"/>
        <v>373.5523540275591</v>
      </c>
      <c r="P74" s="91">
        <v>1</v>
      </c>
      <c r="Q74" s="92">
        <f t="shared" si="50"/>
        <v>373.5523540275591</v>
      </c>
      <c r="R74" s="92">
        <f t="shared" si="42"/>
        <v>1.5002102571387916</v>
      </c>
      <c r="S74" s="92">
        <f t="shared" si="51"/>
        <v>1446.8561175908198</v>
      </c>
      <c r="T74" s="92">
        <f t="shared" si="44"/>
        <v>5.810667138918955</v>
      </c>
    </row>
    <row r="75" spans="1:20" ht="19.5" customHeight="1">
      <c r="A75" s="71">
        <v>64</v>
      </c>
      <c r="B75" s="106">
        <f>B74+2720</f>
        <v>125967</v>
      </c>
      <c r="C75" s="92">
        <f t="shared" si="30"/>
        <v>429.92150170648466</v>
      </c>
      <c r="D75" s="92">
        <f t="shared" si="45"/>
        <v>1.7495416666666657</v>
      </c>
      <c r="E75" s="92">
        <f t="shared" si="32"/>
        <v>27.730235416666652</v>
      </c>
      <c r="F75" s="91">
        <v>50</v>
      </c>
      <c r="G75" s="94">
        <f t="shared" si="33"/>
        <v>2</v>
      </c>
      <c r="H75" s="91">
        <v>10</v>
      </c>
      <c r="I75" s="94">
        <f t="shared" si="34"/>
        <v>32.8</v>
      </c>
      <c r="J75" s="97">
        <f t="shared" si="46"/>
        <v>111.99242898279005</v>
      </c>
      <c r="K75" s="92">
        <f t="shared" si="36"/>
        <v>1.1422481798249597</v>
      </c>
      <c r="L75" s="92">
        <f t="shared" si="47"/>
        <v>1119.9242898279003</v>
      </c>
      <c r="M75" s="92">
        <f t="shared" si="38"/>
        <v>4.497687910955423</v>
      </c>
      <c r="N75" s="92">
        <f t="shared" si="48"/>
        <v>0.8910342692641513</v>
      </c>
      <c r="O75" s="92">
        <f t="shared" si="49"/>
        <v>390.22252691502365</v>
      </c>
      <c r="P75" s="91">
        <v>1</v>
      </c>
      <c r="Q75" s="92">
        <f t="shared" si="50"/>
        <v>390.22252691502365</v>
      </c>
      <c r="R75" s="92">
        <f t="shared" si="42"/>
        <v>1.567158742630617</v>
      </c>
      <c r="S75" s="92">
        <f t="shared" si="51"/>
        <v>1510.1468167429239</v>
      </c>
      <c r="T75" s="92">
        <f t="shared" si="44"/>
        <v>6.06484665358604</v>
      </c>
    </row>
    <row r="76" spans="1:20" ht="19.5" customHeight="1">
      <c r="A76" s="71">
        <v>65</v>
      </c>
      <c r="B76" s="106">
        <f>B75+3400</f>
        <v>129367</v>
      </c>
      <c r="C76" s="92">
        <f t="shared" si="30"/>
        <v>441.5255972696246</v>
      </c>
      <c r="D76" s="92">
        <f t="shared" si="45"/>
        <v>1.796763888888888</v>
      </c>
      <c r="E76" s="92">
        <f t="shared" si="32"/>
        <v>28.478707638888874</v>
      </c>
      <c r="F76" s="91">
        <v>50</v>
      </c>
      <c r="G76" s="94">
        <f t="shared" si="33"/>
        <v>2</v>
      </c>
      <c r="H76" s="91">
        <v>10</v>
      </c>
      <c r="I76" s="94">
        <f t="shared" si="34"/>
        <v>32.8</v>
      </c>
      <c r="J76" s="97">
        <f t="shared" si="46"/>
        <v>117.95866559288375</v>
      </c>
      <c r="K76" s="92">
        <f t="shared" si="36"/>
        <v>1.2030998192632991</v>
      </c>
      <c r="L76" s="92">
        <f t="shared" si="47"/>
        <v>1179.5866559288374</v>
      </c>
      <c r="M76" s="92">
        <f t="shared" si="38"/>
        <v>4.737295806943123</v>
      </c>
      <c r="N76" s="92">
        <f t="shared" si="48"/>
        <v>0.9150843499638435</v>
      </c>
      <c r="O76" s="92">
        <f t="shared" si="49"/>
        <v>411.5719591502106</v>
      </c>
      <c r="P76" s="91">
        <v>1</v>
      </c>
      <c r="Q76" s="92">
        <f t="shared" si="50"/>
        <v>411.5719591502106</v>
      </c>
      <c r="R76" s="92">
        <f t="shared" si="42"/>
        <v>1.652899434338195</v>
      </c>
      <c r="S76" s="92">
        <f t="shared" si="51"/>
        <v>1591.158615079048</v>
      </c>
      <c r="T76" s="92">
        <f t="shared" si="44"/>
        <v>6.390195241281318</v>
      </c>
    </row>
    <row r="77" spans="1:20" ht="19.5" customHeight="1">
      <c r="A77" s="71">
        <v>66</v>
      </c>
      <c r="B77" s="106">
        <f>B76+5000</f>
        <v>134367</v>
      </c>
      <c r="C77" s="92">
        <f t="shared" si="30"/>
        <v>458.59044368600684</v>
      </c>
      <c r="D77" s="92">
        <f t="shared" si="45"/>
        <v>1.8662083333333324</v>
      </c>
      <c r="E77" s="92">
        <f t="shared" si="32"/>
        <v>29.579402083333317</v>
      </c>
      <c r="F77" s="91">
        <v>50</v>
      </c>
      <c r="G77" s="94">
        <f t="shared" si="33"/>
        <v>2</v>
      </c>
      <c r="H77" s="91">
        <v>10</v>
      </c>
      <c r="I77" s="94">
        <f t="shared" si="34"/>
        <v>32.8</v>
      </c>
      <c r="J77" s="97">
        <f t="shared" si="46"/>
        <v>127.0124317529879</v>
      </c>
      <c r="K77" s="92">
        <f t="shared" si="36"/>
        <v>1.2954422035733044</v>
      </c>
      <c r="L77" s="92">
        <f t="shared" si="47"/>
        <v>1270.124317529879</v>
      </c>
      <c r="M77" s="92">
        <f t="shared" si="38"/>
        <v>5.100900873613972</v>
      </c>
      <c r="N77" s="92">
        <f t="shared" si="48"/>
        <v>0.9504521156986847</v>
      </c>
      <c r="O77" s="92">
        <f t="shared" si="49"/>
        <v>444.0010587120461</v>
      </c>
      <c r="P77" s="91">
        <v>1</v>
      </c>
      <c r="Q77" s="92">
        <f t="shared" si="50"/>
        <v>444.0010587120461</v>
      </c>
      <c r="R77" s="92">
        <f t="shared" si="42"/>
        <v>1.7831367819760886</v>
      </c>
      <c r="S77" s="92">
        <f t="shared" si="51"/>
        <v>1714.125376241925</v>
      </c>
      <c r="T77" s="92">
        <f t="shared" si="44"/>
        <v>6.884037655590061</v>
      </c>
    </row>
    <row r="78" spans="1:20" ht="19.5" customHeight="1">
      <c r="A78" s="71">
        <v>67</v>
      </c>
      <c r="B78" s="106">
        <f>B77+5820</f>
        <v>140187</v>
      </c>
      <c r="C78" s="92">
        <f t="shared" si="30"/>
        <v>478.4539249146758</v>
      </c>
      <c r="D78" s="92">
        <f t="shared" si="45"/>
        <v>1.9470416666666654</v>
      </c>
      <c r="E78" s="92">
        <f t="shared" si="32"/>
        <v>30.860610416666646</v>
      </c>
      <c r="F78" s="91">
        <v>50</v>
      </c>
      <c r="G78" s="94">
        <f t="shared" si="33"/>
        <v>2</v>
      </c>
      <c r="H78" s="91">
        <v>10</v>
      </c>
      <c r="I78" s="94">
        <f t="shared" si="34"/>
        <v>32.8</v>
      </c>
      <c r="J78" s="97">
        <f aca="true" t="shared" si="52" ref="J78:J83">6.9938*10^-12*(0.2/F78+0.0904836*F78/(0.86*B78/25))^0.25*(0.86*B78/25)^2/(F78/1000)^5</f>
        <v>137.9706443142286</v>
      </c>
      <c r="K78" s="92">
        <f t="shared" si="36"/>
        <v>1.4072086726632436</v>
      </c>
      <c r="L78" s="92">
        <f aca="true" t="shared" si="53" ref="L78:L83">H78*J78</f>
        <v>1379.706443142286</v>
      </c>
      <c r="M78" s="92">
        <f t="shared" si="38"/>
        <v>5.540989731495125</v>
      </c>
      <c r="N78" s="92">
        <f aca="true" t="shared" si="54" ref="N78:N83">D78*4000/(3.1415926*(F78^2))</f>
        <v>0.9916201950140399</v>
      </c>
      <c r="O78" s="92">
        <f aca="true" t="shared" si="55" ref="O78:O83">N78^2*983/2</f>
        <v>483.29716538498394</v>
      </c>
      <c r="P78" s="91">
        <v>1</v>
      </c>
      <c r="Q78" s="92">
        <f aca="true" t="shared" si="56" ref="Q78:Q83">O78*P78</f>
        <v>483.29716538498394</v>
      </c>
      <c r="R78" s="92">
        <f t="shared" si="42"/>
        <v>1.9409524714256383</v>
      </c>
      <c r="S78" s="92">
        <f aca="true" t="shared" si="57" ref="S78:S83">L78+Q78</f>
        <v>1863.00360852727</v>
      </c>
      <c r="T78" s="92">
        <f t="shared" si="44"/>
        <v>7.481942202920763</v>
      </c>
    </row>
    <row r="79" spans="1:20" ht="19.5" customHeight="1">
      <c r="A79" s="71">
        <v>68</v>
      </c>
      <c r="B79" s="106">
        <f>B78+3400</f>
        <v>143587</v>
      </c>
      <c r="C79" s="92">
        <f t="shared" si="30"/>
        <v>490.0580204778157</v>
      </c>
      <c r="D79" s="92">
        <f t="shared" si="45"/>
        <v>1.9942638888888877</v>
      </c>
      <c r="E79" s="92">
        <f t="shared" si="32"/>
        <v>31.60908263888887</v>
      </c>
      <c r="F79" s="91">
        <v>50</v>
      </c>
      <c r="G79" s="94">
        <f t="shared" si="33"/>
        <v>2</v>
      </c>
      <c r="H79" s="91">
        <v>10</v>
      </c>
      <c r="I79" s="94">
        <f t="shared" si="34"/>
        <v>32.8</v>
      </c>
      <c r="J79" s="97">
        <f t="shared" si="52"/>
        <v>144.5812335827113</v>
      </c>
      <c r="K79" s="92">
        <f t="shared" si="36"/>
        <v>1.4746322800274085</v>
      </c>
      <c r="L79" s="92">
        <f t="shared" si="53"/>
        <v>1445.812335827113</v>
      </c>
      <c r="M79" s="92">
        <f t="shared" si="38"/>
        <v>5.806475244285594</v>
      </c>
      <c r="N79" s="92">
        <f t="shared" si="54"/>
        <v>1.0156702757137321</v>
      </c>
      <c r="O79" s="92">
        <f t="shared" si="55"/>
        <v>507.0245725579728</v>
      </c>
      <c r="P79" s="91">
        <v>1</v>
      </c>
      <c r="Q79" s="92">
        <f t="shared" si="56"/>
        <v>507.0245725579728</v>
      </c>
      <c r="R79" s="92">
        <f t="shared" si="42"/>
        <v>2.0362432632850314</v>
      </c>
      <c r="S79" s="92">
        <f t="shared" si="57"/>
        <v>1952.8369083850857</v>
      </c>
      <c r="T79" s="92">
        <f t="shared" si="44"/>
        <v>7.842718507570625</v>
      </c>
    </row>
    <row r="80" spans="1:20" ht="19.5" customHeight="1">
      <c r="A80" s="71">
        <v>69</v>
      </c>
      <c r="B80" s="106">
        <f>B79+3930</f>
        <v>147517</v>
      </c>
      <c r="C80" s="92">
        <f t="shared" si="30"/>
        <v>503.47098976109214</v>
      </c>
      <c r="D80" s="92">
        <f t="shared" si="45"/>
        <v>2.048847222222221</v>
      </c>
      <c r="E80" s="92">
        <f t="shared" si="32"/>
        <v>32.4742284722222</v>
      </c>
      <c r="F80" s="91">
        <v>50</v>
      </c>
      <c r="G80" s="94">
        <f t="shared" si="33"/>
        <v>2</v>
      </c>
      <c r="H80" s="91">
        <v>10</v>
      </c>
      <c r="I80" s="94">
        <f t="shared" si="34"/>
        <v>32.8</v>
      </c>
      <c r="J80" s="97">
        <f t="shared" si="52"/>
        <v>152.41424211134085</v>
      </c>
      <c r="K80" s="92">
        <f t="shared" si="36"/>
        <v>1.5545237496173345</v>
      </c>
      <c r="L80" s="92">
        <f t="shared" si="53"/>
        <v>1524.1424211134085</v>
      </c>
      <c r="M80" s="92">
        <f t="shared" si="38"/>
        <v>6.12105390005385</v>
      </c>
      <c r="N80" s="92">
        <f t="shared" si="54"/>
        <v>1.0434693395813173</v>
      </c>
      <c r="O80" s="92">
        <f t="shared" si="55"/>
        <v>535.1590910906419</v>
      </c>
      <c r="P80" s="91">
        <v>1</v>
      </c>
      <c r="Q80" s="92">
        <f t="shared" si="56"/>
        <v>535.1590910906419</v>
      </c>
      <c r="R80" s="92">
        <f t="shared" si="42"/>
        <v>2.149233297552779</v>
      </c>
      <c r="S80" s="92">
        <f t="shared" si="57"/>
        <v>2059.3015122040506</v>
      </c>
      <c r="T80" s="92">
        <f t="shared" si="44"/>
        <v>8.27028719760663</v>
      </c>
    </row>
    <row r="81" spans="1:20" ht="19.5" customHeight="1">
      <c r="A81" s="71">
        <v>70</v>
      </c>
      <c r="B81" s="106">
        <f>B80+7032+3400</f>
        <v>157949</v>
      </c>
      <c r="C81" s="92">
        <f t="shared" si="30"/>
        <v>539.0750853242321</v>
      </c>
      <c r="D81" s="92">
        <f t="shared" si="45"/>
        <v>2.19373611111111</v>
      </c>
      <c r="E81" s="92">
        <f t="shared" si="32"/>
        <v>34.770717361111096</v>
      </c>
      <c r="F81" s="91">
        <v>50</v>
      </c>
      <c r="G81" s="94">
        <f t="shared" si="33"/>
        <v>2</v>
      </c>
      <c r="H81" s="91">
        <v>10</v>
      </c>
      <c r="I81" s="94">
        <f t="shared" si="34"/>
        <v>32.8</v>
      </c>
      <c r="J81" s="97">
        <f t="shared" si="52"/>
        <v>174.2048565398428</v>
      </c>
      <c r="K81" s="92">
        <f t="shared" si="36"/>
        <v>1.7767735025184772</v>
      </c>
      <c r="L81" s="92">
        <f t="shared" si="53"/>
        <v>1742.048565398428</v>
      </c>
      <c r="M81" s="92">
        <f t="shared" si="38"/>
        <v>6.996178977503727</v>
      </c>
      <c r="N81" s="92">
        <f t="shared" si="54"/>
        <v>1.1172606460104904</v>
      </c>
      <c r="O81" s="92">
        <f t="shared" si="55"/>
        <v>613.525369077337</v>
      </c>
      <c r="P81" s="91">
        <v>1</v>
      </c>
      <c r="Q81" s="92">
        <f t="shared" si="56"/>
        <v>613.525369077337</v>
      </c>
      <c r="R81" s="92">
        <f t="shared" si="42"/>
        <v>2.463957305531474</v>
      </c>
      <c r="S81" s="92">
        <f t="shared" si="57"/>
        <v>2355.573934475765</v>
      </c>
      <c r="T81" s="92">
        <f t="shared" si="44"/>
        <v>9.460136283035201</v>
      </c>
    </row>
    <row r="82" spans="1:20" ht="19.5" customHeight="1">
      <c r="A82" s="71">
        <v>71</v>
      </c>
      <c r="B82" s="106">
        <f>B81+5270</f>
        <v>163219</v>
      </c>
      <c r="C82" s="92">
        <f t="shared" si="30"/>
        <v>557.0614334470989</v>
      </c>
      <c r="D82" s="92">
        <f t="shared" si="45"/>
        <v>2.2669305555555543</v>
      </c>
      <c r="E82" s="92">
        <f t="shared" si="32"/>
        <v>35.93084930555553</v>
      </c>
      <c r="F82" s="91">
        <v>50</v>
      </c>
      <c r="G82" s="94">
        <f t="shared" si="33"/>
        <v>2</v>
      </c>
      <c r="H82" s="91">
        <v>10</v>
      </c>
      <c r="I82" s="94">
        <f t="shared" si="34"/>
        <v>32.8</v>
      </c>
      <c r="J82" s="97">
        <f t="shared" si="52"/>
        <v>185.76428806004537</v>
      </c>
      <c r="K82" s="92">
        <f t="shared" si="36"/>
        <v>1.8946720045305343</v>
      </c>
      <c r="L82" s="92">
        <f t="shared" si="53"/>
        <v>1857.6428806004537</v>
      </c>
      <c r="M82" s="92">
        <f t="shared" si="38"/>
        <v>7.460413175102224</v>
      </c>
      <c r="N82" s="92">
        <f t="shared" si="54"/>
        <v>1.1545382710950132</v>
      </c>
      <c r="O82" s="92">
        <f t="shared" si="55"/>
        <v>655.149161446435</v>
      </c>
      <c r="P82" s="91">
        <v>1</v>
      </c>
      <c r="Q82" s="92">
        <f t="shared" si="56"/>
        <v>655.149161446435</v>
      </c>
      <c r="R82" s="92">
        <f t="shared" si="42"/>
        <v>2.6311211303069677</v>
      </c>
      <c r="S82" s="92">
        <f t="shared" si="57"/>
        <v>2512.7920420468886</v>
      </c>
      <c r="T82" s="92">
        <f t="shared" si="44"/>
        <v>10.09153430540919</v>
      </c>
    </row>
    <row r="83" spans="1:20" ht="19.5" customHeight="1">
      <c r="A83" s="71">
        <v>72</v>
      </c>
      <c r="B83" s="106">
        <f>B82+14000</f>
        <v>177219</v>
      </c>
      <c r="C83" s="92">
        <f t="shared" si="30"/>
        <v>604.8430034129693</v>
      </c>
      <c r="D83" s="92">
        <f t="shared" si="45"/>
        <v>2.4613749999999985</v>
      </c>
      <c r="E83" s="92">
        <f t="shared" si="32"/>
        <v>39.01279374999998</v>
      </c>
      <c r="F83" s="91">
        <v>50</v>
      </c>
      <c r="G83" s="94">
        <f t="shared" si="33"/>
        <v>2</v>
      </c>
      <c r="H83" s="91">
        <v>10</v>
      </c>
      <c r="I83" s="94">
        <f t="shared" si="34"/>
        <v>32.8</v>
      </c>
      <c r="J83" s="97">
        <f t="shared" si="52"/>
        <v>218.2698015498124</v>
      </c>
      <c r="K83" s="92">
        <f t="shared" si="36"/>
        <v>2.226206590887865</v>
      </c>
      <c r="L83" s="92">
        <f t="shared" si="53"/>
        <v>2182.698015498124</v>
      </c>
      <c r="M83" s="92">
        <f t="shared" si="38"/>
        <v>8.765855483928208</v>
      </c>
      <c r="N83" s="92">
        <f t="shared" si="54"/>
        <v>1.2535680151525688</v>
      </c>
      <c r="O83" s="92">
        <f t="shared" si="55"/>
        <v>772.3592057735603</v>
      </c>
      <c r="P83" s="91">
        <v>1</v>
      </c>
      <c r="Q83" s="92">
        <f t="shared" si="56"/>
        <v>772.3592057735603</v>
      </c>
      <c r="R83" s="92">
        <f t="shared" si="42"/>
        <v>3.101844199893817</v>
      </c>
      <c r="S83" s="92">
        <f t="shared" si="57"/>
        <v>2955.0572212716843</v>
      </c>
      <c r="T83" s="92">
        <f t="shared" si="44"/>
        <v>11.867699683822025</v>
      </c>
    </row>
    <row r="84" spans="1:20" ht="19.5" customHeight="1">
      <c r="A84" s="71">
        <v>73</v>
      </c>
      <c r="B84" s="106">
        <f>B83+3060</f>
        <v>180279</v>
      </c>
      <c r="C84" s="92">
        <f t="shared" si="30"/>
        <v>615.2866894197953</v>
      </c>
      <c r="D84" s="92">
        <f t="shared" si="45"/>
        <v>2.5038749999999985</v>
      </c>
      <c r="E84" s="92">
        <f t="shared" si="32"/>
        <v>39.68641874999997</v>
      </c>
      <c r="F84" s="91">
        <v>50</v>
      </c>
      <c r="G84" s="94">
        <f t="shared" si="33"/>
        <v>2</v>
      </c>
      <c r="H84" s="91">
        <v>10</v>
      </c>
      <c r="I84" s="94">
        <f t="shared" si="34"/>
        <v>32.8</v>
      </c>
      <c r="J84" s="97">
        <f aca="true" t="shared" si="58" ref="J84:J100">6.9938*10^-12*(0.2/F84+0.0904836*F84/(0.86*B84/25))^0.25*(0.86*B84/25)^2/(F84/1000)^5</f>
        <v>225.72236112335625</v>
      </c>
      <c r="K84" s="92">
        <f t="shared" si="36"/>
        <v>2.3022177345449575</v>
      </c>
      <c r="L84" s="92">
        <f aca="true" t="shared" si="59" ref="L84:L100">H84*J84</f>
        <v>2257.2236112335627</v>
      </c>
      <c r="M84" s="92">
        <f t="shared" si="38"/>
        <v>9.06515506519503</v>
      </c>
      <c r="N84" s="92">
        <f aca="true" t="shared" si="60" ref="N84:N100">D84*4000/(3.1415926*(F84^2))</f>
        <v>1.2752130877822916</v>
      </c>
      <c r="O84" s="92">
        <f aca="true" t="shared" si="61" ref="O84:O100">N84^2*983/2</f>
        <v>799.2617780619877</v>
      </c>
      <c r="P84" s="91">
        <v>1</v>
      </c>
      <c r="Q84" s="92">
        <f aca="true" t="shared" si="62" ref="Q84:Q100">O84*P84</f>
        <v>799.2617780619877</v>
      </c>
      <c r="R84" s="92">
        <f t="shared" si="42"/>
        <v>3.2098866588834847</v>
      </c>
      <c r="S84" s="92">
        <f aca="true" t="shared" si="63" ref="S84:S100">L84+Q84</f>
        <v>3056.4853892955502</v>
      </c>
      <c r="T84" s="92">
        <f t="shared" si="44"/>
        <v>12.275041724078514</v>
      </c>
    </row>
    <row r="85" spans="1:20" ht="19.5" customHeight="1">
      <c r="A85" s="71">
        <v>74</v>
      </c>
      <c r="B85" s="106">
        <f>B84+3400</f>
        <v>183679</v>
      </c>
      <c r="C85" s="92">
        <f t="shared" si="30"/>
        <v>626.8907849829352</v>
      </c>
      <c r="D85" s="92">
        <f t="shared" si="45"/>
        <v>2.551097222222221</v>
      </c>
      <c r="E85" s="92">
        <f t="shared" si="32"/>
        <v>40.4348909722222</v>
      </c>
      <c r="F85" s="91">
        <v>50</v>
      </c>
      <c r="G85" s="94">
        <f t="shared" si="33"/>
        <v>2</v>
      </c>
      <c r="H85" s="91">
        <v>10</v>
      </c>
      <c r="I85" s="94">
        <f t="shared" si="34"/>
        <v>32.8</v>
      </c>
      <c r="J85" s="97">
        <f t="shared" si="58"/>
        <v>234.1493043729899</v>
      </c>
      <c r="K85" s="92">
        <f t="shared" si="36"/>
        <v>2.3881669426817096</v>
      </c>
      <c r="L85" s="92">
        <f t="shared" si="59"/>
        <v>2341.493043729899</v>
      </c>
      <c r="M85" s="92">
        <f t="shared" si="38"/>
        <v>9.40358652100361</v>
      </c>
      <c r="N85" s="92">
        <f t="shared" si="60"/>
        <v>1.2992631684819838</v>
      </c>
      <c r="O85" s="92">
        <f t="shared" si="61"/>
        <v>829.6936698486442</v>
      </c>
      <c r="P85" s="91">
        <v>1</v>
      </c>
      <c r="Q85" s="92">
        <f t="shared" si="62"/>
        <v>829.6936698486442</v>
      </c>
      <c r="R85" s="92">
        <f t="shared" si="42"/>
        <v>3.3321030917616232</v>
      </c>
      <c r="S85" s="92">
        <f t="shared" si="63"/>
        <v>3171.1867135785433</v>
      </c>
      <c r="T85" s="92">
        <f t="shared" si="44"/>
        <v>12.735689612765235</v>
      </c>
    </row>
    <row r="86" spans="1:20" ht="19.5" customHeight="1">
      <c r="A86" s="71">
        <v>75</v>
      </c>
      <c r="B86" s="106">
        <f>B85+6810</f>
        <v>190489</v>
      </c>
      <c r="C86" s="92">
        <f t="shared" si="30"/>
        <v>650.1331058020478</v>
      </c>
      <c r="D86" s="92">
        <f t="shared" si="45"/>
        <v>2.645680555555554</v>
      </c>
      <c r="E86" s="92">
        <f t="shared" si="32"/>
        <v>41.93403680555553</v>
      </c>
      <c r="F86" s="91">
        <v>50</v>
      </c>
      <c r="G86" s="94">
        <f t="shared" si="33"/>
        <v>2</v>
      </c>
      <c r="H86" s="91">
        <v>10</v>
      </c>
      <c r="I86" s="94">
        <f t="shared" si="34"/>
        <v>32.8</v>
      </c>
      <c r="J86" s="97">
        <f t="shared" si="58"/>
        <v>251.49117030321426</v>
      </c>
      <c r="K86" s="92">
        <f t="shared" si="36"/>
        <v>2.565042424118149</v>
      </c>
      <c r="L86" s="92">
        <f t="shared" si="59"/>
        <v>2514.9117030321427</v>
      </c>
      <c r="M86" s="92">
        <f t="shared" si="38"/>
        <v>10.100047000129088</v>
      </c>
      <c r="N86" s="92">
        <f t="shared" si="60"/>
        <v>1.3474340654128374</v>
      </c>
      <c r="O86" s="92">
        <f t="shared" si="61"/>
        <v>892.3568625520861</v>
      </c>
      <c r="P86" s="91">
        <v>1</v>
      </c>
      <c r="Q86" s="92">
        <f t="shared" si="62"/>
        <v>892.3568625520861</v>
      </c>
      <c r="R86" s="92">
        <f t="shared" si="42"/>
        <v>3.5837625002091813</v>
      </c>
      <c r="S86" s="92">
        <f t="shared" si="63"/>
        <v>3407.268565584229</v>
      </c>
      <c r="T86" s="92">
        <f t="shared" si="44"/>
        <v>13.683809500338269</v>
      </c>
    </row>
    <row r="87" spans="1:20" ht="19.5" customHeight="1">
      <c r="A87" s="71">
        <v>76</v>
      </c>
      <c r="B87" s="106">
        <f>B86+1460</f>
        <v>191949</v>
      </c>
      <c r="C87" s="92">
        <f t="shared" si="30"/>
        <v>655.1160409556314</v>
      </c>
      <c r="D87" s="92">
        <f t="shared" si="45"/>
        <v>2.6659583333333314</v>
      </c>
      <c r="E87" s="92">
        <f t="shared" si="32"/>
        <v>42.2554395833333</v>
      </c>
      <c r="F87" s="91">
        <v>50</v>
      </c>
      <c r="G87" s="94">
        <f t="shared" si="33"/>
        <v>2</v>
      </c>
      <c r="H87" s="91">
        <v>10</v>
      </c>
      <c r="I87" s="94">
        <f t="shared" si="34"/>
        <v>32.8</v>
      </c>
      <c r="J87" s="97">
        <f t="shared" si="58"/>
        <v>255.28953809372004</v>
      </c>
      <c r="K87" s="92">
        <f t="shared" si="36"/>
        <v>2.603783245568479</v>
      </c>
      <c r="L87" s="92">
        <f t="shared" si="59"/>
        <v>2552.8953809372006</v>
      </c>
      <c r="M87" s="92">
        <f t="shared" si="38"/>
        <v>10.252591891314058</v>
      </c>
      <c r="N87" s="92">
        <f t="shared" si="60"/>
        <v>1.357761453007411</v>
      </c>
      <c r="O87" s="92">
        <f t="shared" si="61"/>
        <v>906.088194248579</v>
      </c>
      <c r="P87" s="91">
        <v>1</v>
      </c>
      <c r="Q87" s="92">
        <f t="shared" si="62"/>
        <v>906.088194248579</v>
      </c>
      <c r="R87" s="92">
        <f t="shared" si="42"/>
        <v>3.6389084106368634</v>
      </c>
      <c r="S87" s="92">
        <f t="shared" si="63"/>
        <v>3458.9835751857795</v>
      </c>
      <c r="T87" s="92">
        <f t="shared" si="44"/>
        <v>13.891500301950922</v>
      </c>
    </row>
    <row r="88" spans="1:20" ht="19.5" customHeight="1">
      <c r="A88" s="71">
        <v>77</v>
      </c>
      <c r="B88" s="106">
        <f>B87+6310</f>
        <v>198259</v>
      </c>
      <c r="C88" s="92">
        <f t="shared" si="30"/>
        <v>676.6518771331058</v>
      </c>
      <c r="D88" s="92">
        <f t="shared" si="45"/>
        <v>2.7535972222222207</v>
      </c>
      <c r="E88" s="92">
        <f t="shared" si="32"/>
        <v>43.644515972222194</v>
      </c>
      <c r="F88" s="91">
        <v>70</v>
      </c>
      <c r="G88" s="94">
        <f t="shared" si="33"/>
        <v>2.8</v>
      </c>
      <c r="H88" s="91">
        <v>10</v>
      </c>
      <c r="I88" s="94">
        <f t="shared" si="34"/>
        <v>32.8</v>
      </c>
      <c r="J88" s="97">
        <f t="shared" si="58"/>
        <v>48.011627774061246</v>
      </c>
      <c r="K88" s="92">
        <f t="shared" si="36"/>
        <v>0.4896866237608118</v>
      </c>
      <c r="L88" s="92">
        <f t="shared" si="59"/>
        <v>480.1162777406125</v>
      </c>
      <c r="M88" s="92">
        <f t="shared" si="38"/>
        <v>1.9281778222514556</v>
      </c>
      <c r="N88" s="92">
        <f t="shared" si="60"/>
        <v>0.715507945594276</v>
      </c>
      <c r="O88" s="92">
        <f t="shared" si="61"/>
        <v>251.62422133249814</v>
      </c>
      <c r="P88" s="91">
        <v>1</v>
      </c>
      <c r="Q88" s="92">
        <f t="shared" si="62"/>
        <v>251.62422133249814</v>
      </c>
      <c r="R88" s="92">
        <f t="shared" si="42"/>
        <v>1.0105390414959765</v>
      </c>
      <c r="S88" s="92">
        <f t="shared" si="63"/>
        <v>731.7404990731106</v>
      </c>
      <c r="T88" s="92">
        <f t="shared" si="44"/>
        <v>2.938716863747432</v>
      </c>
    </row>
    <row r="89" spans="1:20" ht="19.5" customHeight="1">
      <c r="A89" s="71">
        <v>78</v>
      </c>
      <c r="B89" s="106">
        <f>B88+1840</f>
        <v>200099</v>
      </c>
      <c r="C89" s="92">
        <f t="shared" si="30"/>
        <v>682.9317406143344</v>
      </c>
      <c r="D89" s="92">
        <f t="shared" si="45"/>
        <v>2.779152777777776</v>
      </c>
      <c r="E89" s="92">
        <f t="shared" si="32"/>
        <v>44.04957152777774</v>
      </c>
      <c r="F89" s="91">
        <v>70</v>
      </c>
      <c r="G89" s="94">
        <f t="shared" si="33"/>
        <v>2.8</v>
      </c>
      <c r="H89" s="91">
        <v>10</v>
      </c>
      <c r="I89" s="94">
        <f t="shared" si="34"/>
        <v>32.8</v>
      </c>
      <c r="J89" s="97">
        <f t="shared" si="58"/>
        <v>48.87933122339669</v>
      </c>
      <c r="K89" s="92">
        <f t="shared" si="36"/>
        <v>0.49853662098503093</v>
      </c>
      <c r="L89" s="92">
        <f t="shared" si="59"/>
        <v>488.7933122339669</v>
      </c>
      <c r="M89" s="92">
        <f t="shared" si="38"/>
        <v>1.9630253503372164</v>
      </c>
      <c r="N89" s="92">
        <f t="shared" si="60"/>
        <v>0.7221484240587768</v>
      </c>
      <c r="O89" s="92">
        <f t="shared" si="61"/>
        <v>256.3164372411376</v>
      </c>
      <c r="P89" s="91">
        <v>1</v>
      </c>
      <c r="Q89" s="92">
        <f t="shared" si="62"/>
        <v>256.3164372411376</v>
      </c>
      <c r="R89" s="92">
        <f t="shared" si="42"/>
        <v>1.029383282092922</v>
      </c>
      <c r="S89" s="92">
        <f t="shared" si="63"/>
        <v>745.1097494751045</v>
      </c>
      <c r="T89" s="92">
        <f t="shared" si="44"/>
        <v>2.9924086324301387</v>
      </c>
    </row>
    <row r="90" spans="1:20" ht="19.5" customHeight="1">
      <c r="A90" s="71">
        <v>79</v>
      </c>
      <c r="B90" s="106">
        <f>B89+1840</f>
        <v>201939</v>
      </c>
      <c r="C90" s="92">
        <f t="shared" si="30"/>
        <v>689.2116040955632</v>
      </c>
      <c r="D90" s="92">
        <f t="shared" si="45"/>
        <v>2.804708333333332</v>
      </c>
      <c r="E90" s="92">
        <f t="shared" si="32"/>
        <v>44.45462708333331</v>
      </c>
      <c r="F90" s="91">
        <v>70</v>
      </c>
      <c r="G90" s="94">
        <f t="shared" si="33"/>
        <v>2.8</v>
      </c>
      <c r="H90" s="91">
        <v>10</v>
      </c>
      <c r="I90" s="94">
        <f t="shared" si="34"/>
        <v>32.8</v>
      </c>
      <c r="J90" s="97">
        <f t="shared" si="58"/>
        <v>49.75475138173181</v>
      </c>
      <c r="K90" s="92">
        <f t="shared" si="36"/>
        <v>0.5074653235011093</v>
      </c>
      <c r="L90" s="92">
        <f t="shared" si="59"/>
        <v>497.5475138173181</v>
      </c>
      <c r="M90" s="92">
        <f t="shared" si="38"/>
        <v>1.998182786414932</v>
      </c>
      <c r="N90" s="92">
        <f t="shared" si="60"/>
        <v>0.7287889025232775</v>
      </c>
      <c r="O90" s="92">
        <f t="shared" si="61"/>
        <v>261.05199947279243</v>
      </c>
      <c r="P90" s="91">
        <v>1</v>
      </c>
      <c r="Q90" s="92">
        <f t="shared" si="62"/>
        <v>261.05199947279243</v>
      </c>
      <c r="R90" s="92">
        <f t="shared" si="42"/>
        <v>1.0484016043084032</v>
      </c>
      <c r="S90" s="92">
        <f t="shared" si="63"/>
        <v>758.5995132901105</v>
      </c>
      <c r="T90" s="92">
        <f t="shared" si="44"/>
        <v>3.046584390723335</v>
      </c>
    </row>
    <row r="91" spans="1:20" ht="19.5" customHeight="1">
      <c r="A91" s="71">
        <v>80</v>
      </c>
      <c r="B91" s="106">
        <f>B90+4200</f>
        <v>206139</v>
      </c>
      <c r="C91" s="92">
        <f t="shared" si="30"/>
        <v>703.5460750853242</v>
      </c>
      <c r="D91" s="92">
        <f t="shared" si="45"/>
        <v>2.8630416666666654</v>
      </c>
      <c r="E91" s="92">
        <f t="shared" si="32"/>
        <v>45.379210416666645</v>
      </c>
      <c r="F91" s="91">
        <v>70</v>
      </c>
      <c r="G91" s="94">
        <f t="shared" si="33"/>
        <v>2.8</v>
      </c>
      <c r="H91" s="91">
        <v>10</v>
      </c>
      <c r="I91" s="94">
        <f t="shared" si="34"/>
        <v>32.8</v>
      </c>
      <c r="J91" s="97">
        <f t="shared" si="58"/>
        <v>51.78190241440207</v>
      </c>
      <c r="K91" s="92">
        <f t="shared" si="36"/>
        <v>0.5281409137917147</v>
      </c>
      <c r="L91" s="92">
        <f t="shared" si="59"/>
        <v>517.8190241440207</v>
      </c>
      <c r="M91" s="92">
        <f t="shared" si="38"/>
        <v>2.0795944744739785</v>
      </c>
      <c r="N91" s="92">
        <f t="shared" si="60"/>
        <v>0.7439465164096382</v>
      </c>
      <c r="O91" s="92">
        <f t="shared" si="61"/>
        <v>272.0238300751547</v>
      </c>
      <c r="P91" s="91">
        <v>1</v>
      </c>
      <c r="Q91" s="92">
        <f t="shared" si="62"/>
        <v>272.0238300751547</v>
      </c>
      <c r="R91" s="92">
        <f t="shared" si="42"/>
        <v>1.0924651810247177</v>
      </c>
      <c r="S91" s="92">
        <f t="shared" si="63"/>
        <v>789.8428542191754</v>
      </c>
      <c r="T91" s="92">
        <f t="shared" si="44"/>
        <v>3.172059655498696</v>
      </c>
    </row>
    <row r="92" spans="1:20" ht="19.5" customHeight="1">
      <c r="A92" s="71">
        <v>81</v>
      </c>
      <c r="B92" s="106">
        <f>B91+5400</f>
        <v>211539</v>
      </c>
      <c r="C92" s="92">
        <f t="shared" si="30"/>
        <v>721.9761092150171</v>
      </c>
      <c r="D92" s="92">
        <f t="shared" si="45"/>
        <v>2.9380416666666647</v>
      </c>
      <c r="E92" s="92">
        <f t="shared" si="32"/>
        <v>46.56796041666664</v>
      </c>
      <c r="F92" s="91">
        <v>70</v>
      </c>
      <c r="G92" s="94">
        <f t="shared" si="33"/>
        <v>2.8</v>
      </c>
      <c r="H92" s="91">
        <v>10</v>
      </c>
      <c r="I92" s="94">
        <f t="shared" si="34"/>
        <v>32.8</v>
      </c>
      <c r="J92" s="97">
        <f t="shared" si="58"/>
        <v>54.44731366510706</v>
      </c>
      <c r="K92" s="92">
        <f t="shared" si="36"/>
        <v>0.5553263331745786</v>
      </c>
      <c r="L92" s="92">
        <f t="shared" si="59"/>
        <v>544.4731366510706</v>
      </c>
      <c r="M92" s="92">
        <f t="shared" si="38"/>
        <v>2.186639103016348</v>
      </c>
      <c r="N92" s="92">
        <f t="shared" si="60"/>
        <v>0.763434877120673</v>
      </c>
      <c r="O92" s="92">
        <f t="shared" si="61"/>
        <v>286.4623269034924</v>
      </c>
      <c r="P92" s="91">
        <v>1</v>
      </c>
      <c r="Q92" s="92">
        <f t="shared" si="62"/>
        <v>286.4623269034924</v>
      </c>
      <c r="R92" s="92">
        <f t="shared" si="42"/>
        <v>1.1504511120622185</v>
      </c>
      <c r="S92" s="92">
        <f t="shared" si="63"/>
        <v>830.9354635545631</v>
      </c>
      <c r="T92" s="92">
        <f t="shared" si="44"/>
        <v>3.3370902150785664</v>
      </c>
    </row>
    <row r="93" spans="1:20" ht="19.5" customHeight="1">
      <c r="A93" s="71">
        <v>82</v>
      </c>
      <c r="B93" s="106">
        <f>B92+4020+4700</f>
        <v>220259</v>
      </c>
      <c r="C93" s="92">
        <f t="shared" si="30"/>
        <v>751.7372013651877</v>
      </c>
      <c r="D93" s="92">
        <f t="shared" si="45"/>
        <v>3.0591527777777765</v>
      </c>
      <c r="E93" s="92">
        <f t="shared" si="32"/>
        <v>48.48757152777775</v>
      </c>
      <c r="F93" s="91">
        <v>70</v>
      </c>
      <c r="G93" s="94">
        <f t="shared" si="33"/>
        <v>2.8</v>
      </c>
      <c r="H93" s="91">
        <v>10</v>
      </c>
      <c r="I93" s="94">
        <f t="shared" si="34"/>
        <v>32.8</v>
      </c>
      <c r="J93" s="97">
        <f t="shared" si="58"/>
        <v>58.891758503032456</v>
      </c>
      <c r="K93" s="92">
        <f t="shared" si="36"/>
        <v>0.6006567101702669</v>
      </c>
      <c r="L93" s="92">
        <f t="shared" si="59"/>
        <v>588.9175850303245</v>
      </c>
      <c r="M93" s="92">
        <f t="shared" si="38"/>
        <v>2.3651308635756005</v>
      </c>
      <c r="N93" s="92">
        <f t="shared" si="60"/>
        <v>0.7949049707133076</v>
      </c>
      <c r="O93" s="92">
        <f t="shared" si="61"/>
        <v>310.56602797641204</v>
      </c>
      <c r="P93" s="91">
        <v>1</v>
      </c>
      <c r="Q93" s="92">
        <f t="shared" si="62"/>
        <v>310.56602797641204</v>
      </c>
      <c r="R93" s="92">
        <f t="shared" si="42"/>
        <v>1.2472531244032612</v>
      </c>
      <c r="S93" s="92">
        <f t="shared" si="63"/>
        <v>899.4836130067365</v>
      </c>
      <c r="T93" s="92">
        <f t="shared" si="44"/>
        <v>3.6123839879788613</v>
      </c>
    </row>
    <row r="94" spans="1:20" ht="19.5" customHeight="1">
      <c r="A94" s="71">
        <v>83</v>
      </c>
      <c r="B94" s="106">
        <f>B93+4700</f>
        <v>224959</v>
      </c>
      <c r="C94" s="92">
        <f t="shared" si="30"/>
        <v>767.7781569965871</v>
      </c>
      <c r="D94" s="92">
        <f t="shared" si="45"/>
        <v>3.124430555555554</v>
      </c>
      <c r="E94" s="92">
        <f t="shared" si="32"/>
        <v>49.522224305555525</v>
      </c>
      <c r="F94" s="91">
        <v>70</v>
      </c>
      <c r="G94" s="94">
        <f t="shared" si="33"/>
        <v>2.8</v>
      </c>
      <c r="H94" s="91">
        <v>10</v>
      </c>
      <c r="I94" s="94">
        <f t="shared" si="34"/>
        <v>32.8</v>
      </c>
      <c r="J94" s="97">
        <f t="shared" si="58"/>
        <v>61.35914018560088</v>
      </c>
      <c r="K94" s="92">
        <f t="shared" si="36"/>
        <v>0.6258223598614646</v>
      </c>
      <c r="L94" s="92">
        <f t="shared" si="59"/>
        <v>613.5914018560088</v>
      </c>
      <c r="M94" s="92">
        <f t="shared" si="38"/>
        <v>2.46422249741369</v>
      </c>
      <c r="N94" s="92">
        <f t="shared" si="60"/>
        <v>0.8118670624432824</v>
      </c>
      <c r="O94" s="92">
        <f t="shared" si="61"/>
        <v>323.9614744599599</v>
      </c>
      <c r="P94" s="91">
        <v>1</v>
      </c>
      <c r="Q94" s="92">
        <f t="shared" si="62"/>
        <v>323.9614744599599</v>
      </c>
      <c r="R94" s="92">
        <f t="shared" si="42"/>
        <v>1.3010500982327706</v>
      </c>
      <c r="S94" s="92">
        <f t="shared" si="63"/>
        <v>937.5528763159687</v>
      </c>
      <c r="T94" s="92">
        <f t="shared" si="44"/>
        <v>3.7652725956464606</v>
      </c>
    </row>
    <row r="95" spans="1:20" ht="19.5" customHeight="1">
      <c r="A95" s="71">
        <v>84</v>
      </c>
      <c r="B95" s="106">
        <f>B94+5380</f>
        <v>230339</v>
      </c>
      <c r="C95" s="92">
        <f t="shared" si="30"/>
        <v>786.1399317406143</v>
      </c>
      <c r="D95" s="92">
        <f t="shared" si="45"/>
        <v>3.199152777777776</v>
      </c>
      <c r="E95" s="92">
        <f t="shared" si="32"/>
        <v>50.706571527777754</v>
      </c>
      <c r="F95" s="91">
        <v>70</v>
      </c>
      <c r="G95" s="94">
        <f t="shared" si="33"/>
        <v>2.8</v>
      </c>
      <c r="H95" s="91">
        <v>10</v>
      </c>
      <c r="I95" s="94">
        <f t="shared" si="34"/>
        <v>32.8</v>
      </c>
      <c r="J95" s="97">
        <f t="shared" si="58"/>
        <v>64.2452915303332</v>
      </c>
      <c r="K95" s="92">
        <f t="shared" si="36"/>
        <v>0.6552591811730771</v>
      </c>
      <c r="L95" s="92">
        <f t="shared" si="59"/>
        <v>642.452915303332</v>
      </c>
      <c r="M95" s="92">
        <f t="shared" si="38"/>
        <v>2.580132189973221</v>
      </c>
      <c r="N95" s="92">
        <f t="shared" si="60"/>
        <v>0.8312832440405729</v>
      </c>
      <c r="O95" s="92">
        <f t="shared" si="61"/>
        <v>339.6421453408171</v>
      </c>
      <c r="P95" s="91">
        <v>1</v>
      </c>
      <c r="Q95" s="92">
        <f t="shared" si="62"/>
        <v>339.6421453408171</v>
      </c>
      <c r="R95" s="92">
        <f t="shared" si="42"/>
        <v>1.3640246800836027</v>
      </c>
      <c r="S95" s="92">
        <f t="shared" si="63"/>
        <v>982.095060644149</v>
      </c>
      <c r="T95" s="92">
        <f t="shared" si="44"/>
        <v>3.9441568700568235</v>
      </c>
    </row>
    <row r="96" spans="1:20" ht="19.5" customHeight="1">
      <c r="A96" s="71">
        <v>85</v>
      </c>
      <c r="B96" s="106">
        <f>B95+2205</f>
        <v>232544</v>
      </c>
      <c r="C96" s="92">
        <f t="shared" si="30"/>
        <v>793.6655290102389</v>
      </c>
      <c r="D96" s="92">
        <f t="shared" si="45"/>
        <v>3.229777777777776</v>
      </c>
      <c r="E96" s="92">
        <f t="shared" si="32"/>
        <v>51.191977777777744</v>
      </c>
      <c r="F96" s="91">
        <v>70</v>
      </c>
      <c r="G96" s="94">
        <f t="shared" si="33"/>
        <v>2.8</v>
      </c>
      <c r="H96" s="91">
        <v>10</v>
      </c>
      <c r="I96" s="94">
        <f t="shared" si="34"/>
        <v>32.8</v>
      </c>
      <c r="J96" s="97">
        <f t="shared" si="58"/>
        <v>65.44723911578605</v>
      </c>
      <c r="K96" s="92">
        <f t="shared" si="36"/>
        <v>0.6675182459527107</v>
      </c>
      <c r="L96" s="92">
        <f t="shared" si="59"/>
        <v>654.4723911578604</v>
      </c>
      <c r="M96" s="92">
        <f t="shared" si="38"/>
        <v>2.628403177340805</v>
      </c>
      <c r="N96" s="92">
        <f t="shared" si="60"/>
        <v>0.8392409913309121</v>
      </c>
      <c r="O96" s="92">
        <f t="shared" si="61"/>
        <v>346.1759545120403</v>
      </c>
      <c r="P96" s="91">
        <v>1</v>
      </c>
      <c r="Q96" s="92">
        <f t="shared" si="62"/>
        <v>346.1759545120403</v>
      </c>
      <c r="R96" s="92">
        <f t="shared" si="42"/>
        <v>1.3902648775583948</v>
      </c>
      <c r="S96" s="92">
        <f t="shared" si="63"/>
        <v>1000.6483456699007</v>
      </c>
      <c r="T96" s="92">
        <f t="shared" si="44"/>
        <v>4.0186680548992</v>
      </c>
    </row>
    <row r="97" spans="1:20" ht="19.5" customHeight="1">
      <c r="A97" s="71">
        <v>86</v>
      </c>
      <c r="B97" s="106">
        <f>B96+1625*3</f>
        <v>237419</v>
      </c>
      <c r="C97" s="92">
        <f t="shared" si="30"/>
        <v>810.3037542662116</v>
      </c>
      <c r="D97" s="92">
        <f t="shared" si="45"/>
        <v>3.2974861111111093</v>
      </c>
      <c r="E97" s="92">
        <f t="shared" si="32"/>
        <v>52.265154861111085</v>
      </c>
      <c r="F97" s="91">
        <v>70</v>
      </c>
      <c r="G97" s="94">
        <f t="shared" si="33"/>
        <v>2.8</v>
      </c>
      <c r="H97" s="91">
        <v>10</v>
      </c>
      <c r="I97" s="94">
        <f t="shared" si="34"/>
        <v>32.8</v>
      </c>
      <c r="J97" s="97">
        <f t="shared" si="58"/>
        <v>68.14392788071704</v>
      </c>
      <c r="K97" s="92">
        <f t="shared" si="36"/>
        <v>0.6950226751473859</v>
      </c>
      <c r="L97" s="92">
        <f t="shared" si="59"/>
        <v>681.4392788071705</v>
      </c>
      <c r="M97" s="92">
        <f t="shared" si="38"/>
        <v>2.736703930952492</v>
      </c>
      <c r="N97" s="92">
        <f t="shared" si="60"/>
        <v>0.8568346503061521</v>
      </c>
      <c r="O97" s="92">
        <f t="shared" si="61"/>
        <v>360.84240122992827</v>
      </c>
      <c r="P97" s="91">
        <v>1</v>
      </c>
      <c r="Q97" s="92">
        <f t="shared" si="62"/>
        <v>360.84240122992827</v>
      </c>
      <c r="R97" s="92">
        <f t="shared" si="42"/>
        <v>1.4491662699997119</v>
      </c>
      <c r="S97" s="92">
        <f t="shared" si="63"/>
        <v>1042.2816800370988</v>
      </c>
      <c r="T97" s="92">
        <f t="shared" si="44"/>
        <v>4.185870200952204</v>
      </c>
    </row>
    <row r="98" spans="1:20" ht="19.5" customHeight="1">
      <c r="A98" s="71">
        <v>87</v>
      </c>
      <c r="B98" s="106">
        <f>B97+1625*2</f>
        <v>240669</v>
      </c>
      <c r="C98" s="92">
        <f t="shared" si="30"/>
        <v>821.3959044368601</v>
      </c>
      <c r="D98" s="92">
        <f t="shared" si="45"/>
        <v>3.342624999999998</v>
      </c>
      <c r="E98" s="92">
        <f t="shared" si="32"/>
        <v>52.98060624999997</v>
      </c>
      <c r="F98" s="91">
        <v>70</v>
      </c>
      <c r="G98" s="94">
        <f t="shared" si="33"/>
        <v>2.8</v>
      </c>
      <c r="H98" s="91">
        <v>10</v>
      </c>
      <c r="I98" s="94">
        <f t="shared" si="34"/>
        <v>32.8</v>
      </c>
      <c r="J98" s="97">
        <f t="shared" si="58"/>
        <v>69.97180328501089</v>
      </c>
      <c r="K98" s="92">
        <f t="shared" si="36"/>
        <v>0.7136657867618532</v>
      </c>
      <c r="L98" s="92">
        <f t="shared" si="59"/>
        <v>699.7180328501089</v>
      </c>
      <c r="M98" s="92">
        <f t="shared" si="38"/>
        <v>2.810112581727345</v>
      </c>
      <c r="N98" s="92">
        <f t="shared" si="60"/>
        <v>0.8685637562896454</v>
      </c>
      <c r="O98" s="92">
        <f t="shared" si="61"/>
        <v>370.7890738806995</v>
      </c>
      <c r="P98" s="91">
        <v>1</v>
      </c>
      <c r="Q98" s="92">
        <f t="shared" si="62"/>
        <v>370.7890738806995</v>
      </c>
      <c r="R98" s="92">
        <f t="shared" si="42"/>
        <v>1.4891127465088334</v>
      </c>
      <c r="S98" s="92">
        <f t="shared" si="63"/>
        <v>1070.5071067308083</v>
      </c>
      <c r="T98" s="92">
        <f t="shared" si="44"/>
        <v>4.2992253282361785</v>
      </c>
    </row>
    <row r="99" spans="1:20" ht="19.5" customHeight="1">
      <c r="A99" s="71">
        <v>88</v>
      </c>
      <c r="B99" s="106">
        <f>B98+1625*2</f>
        <v>243919</v>
      </c>
      <c r="C99" s="92">
        <f t="shared" si="30"/>
        <v>832.4880546075085</v>
      </c>
      <c r="D99" s="92">
        <f t="shared" si="45"/>
        <v>3.387763888888887</v>
      </c>
      <c r="E99" s="92">
        <f t="shared" si="32"/>
        <v>53.69605763888886</v>
      </c>
      <c r="F99" s="91">
        <v>70</v>
      </c>
      <c r="G99" s="94">
        <f t="shared" si="33"/>
        <v>2.8</v>
      </c>
      <c r="H99" s="91">
        <v>10</v>
      </c>
      <c r="I99" s="94">
        <f t="shared" si="34"/>
        <v>32.8</v>
      </c>
      <c r="J99" s="97">
        <f t="shared" si="58"/>
        <v>71.82374436470496</v>
      </c>
      <c r="K99" s="92">
        <f t="shared" si="36"/>
        <v>0.7325543522357632</v>
      </c>
      <c r="L99" s="92">
        <f t="shared" si="59"/>
        <v>718.2374436470496</v>
      </c>
      <c r="M99" s="92">
        <f t="shared" si="38"/>
        <v>2.884487725490159</v>
      </c>
      <c r="N99" s="92">
        <f t="shared" si="60"/>
        <v>0.8802928622731386</v>
      </c>
      <c r="O99" s="92">
        <f t="shared" si="61"/>
        <v>380.8709797358807</v>
      </c>
      <c r="P99" s="91">
        <v>1</v>
      </c>
      <c r="Q99" s="92">
        <f t="shared" si="62"/>
        <v>380.8709797358807</v>
      </c>
      <c r="R99" s="92">
        <f t="shared" si="42"/>
        <v>1.5296023282565492</v>
      </c>
      <c r="S99" s="92">
        <f t="shared" si="63"/>
        <v>1099.1084233829304</v>
      </c>
      <c r="T99" s="92">
        <f t="shared" si="44"/>
        <v>4.414090053746708</v>
      </c>
    </row>
    <row r="100" spans="1:20" ht="19.5" customHeight="1">
      <c r="A100" s="71">
        <v>89</v>
      </c>
      <c r="B100" s="106">
        <f>B99+1625*2</f>
        <v>247169</v>
      </c>
      <c r="C100" s="92">
        <f t="shared" si="30"/>
        <v>843.5802047781569</v>
      </c>
      <c r="D100" s="92">
        <f t="shared" si="45"/>
        <v>3.432902777777776</v>
      </c>
      <c r="E100" s="92">
        <f t="shared" si="32"/>
        <v>54.41150902777775</v>
      </c>
      <c r="F100" s="91">
        <v>70</v>
      </c>
      <c r="G100" s="94">
        <f t="shared" si="33"/>
        <v>2.8</v>
      </c>
      <c r="H100" s="91">
        <v>10</v>
      </c>
      <c r="I100" s="94">
        <f t="shared" si="34"/>
        <v>32.8</v>
      </c>
      <c r="J100" s="97">
        <f t="shared" si="58"/>
        <v>73.69975059902217</v>
      </c>
      <c r="K100" s="92">
        <f t="shared" si="36"/>
        <v>0.751688366257536</v>
      </c>
      <c r="L100" s="92">
        <f t="shared" si="59"/>
        <v>736.9975059902217</v>
      </c>
      <c r="M100" s="92">
        <f t="shared" si="38"/>
        <v>2.959829341326192</v>
      </c>
      <c r="N100" s="92">
        <f t="shared" si="60"/>
        <v>0.892021968256632</v>
      </c>
      <c r="O100" s="92">
        <f t="shared" si="61"/>
        <v>391.0881187954722</v>
      </c>
      <c r="P100" s="91">
        <v>1</v>
      </c>
      <c r="Q100" s="92">
        <f t="shared" si="62"/>
        <v>391.0881187954722</v>
      </c>
      <c r="R100" s="92">
        <f t="shared" si="42"/>
        <v>1.5706350152428603</v>
      </c>
      <c r="S100" s="92">
        <f t="shared" si="63"/>
        <v>1128.0856247856939</v>
      </c>
      <c r="T100" s="92">
        <f t="shared" si="44"/>
        <v>4.530464356569052</v>
      </c>
    </row>
    <row r="101" spans="1:20" ht="19.5" customHeight="1">
      <c r="A101" s="71"/>
      <c r="B101" s="86"/>
      <c r="C101" s="92"/>
      <c r="D101" s="92"/>
      <c r="E101" s="92"/>
      <c r="F101" s="91"/>
      <c r="G101" s="94"/>
      <c r="H101" s="91"/>
      <c r="I101" s="94"/>
      <c r="J101" s="97"/>
      <c r="K101" s="92"/>
      <c r="L101" s="92"/>
      <c r="M101" s="92"/>
      <c r="N101" s="92"/>
      <c r="O101" s="92"/>
      <c r="P101" s="91"/>
      <c r="Q101" s="92"/>
      <c r="R101" s="92"/>
      <c r="S101" s="92"/>
      <c r="T101" s="92"/>
    </row>
    <row r="102" spans="1:20" s="103" customFormat="1" ht="19.5" customHeight="1">
      <c r="A102" s="99"/>
      <c r="B102" s="104"/>
      <c r="C102" s="100"/>
      <c r="D102" s="100"/>
      <c r="E102" s="100"/>
      <c r="F102" s="100"/>
      <c r="G102" s="101"/>
      <c r="H102" s="100"/>
      <c r="I102" s="101"/>
      <c r="J102" s="102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1:21" ht="21.75" customHeight="1">
      <c r="A103" s="71">
        <v>1</v>
      </c>
      <c r="B103" s="86">
        <v>4927</v>
      </c>
      <c r="C103" s="92">
        <f t="shared" si="30"/>
        <v>16.81569965870307</v>
      </c>
      <c r="D103" s="92">
        <f>B103*0.83/$F$5/3600</f>
        <v>0.06843055555555551</v>
      </c>
      <c r="E103" s="92">
        <f t="shared" si="32"/>
        <v>1.084624305555555</v>
      </c>
      <c r="F103" s="91">
        <v>20</v>
      </c>
      <c r="G103" s="94">
        <f t="shared" si="33"/>
        <v>0.8</v>
      </c>
      <c r="H103" s="91"/>
      <c r="I103" s="94">
        <f t="shared" si="34"/>
        <v>0</v>
      </c>
      <c r="J103" s="97">
        <f>6.9938*10^-12*(0.2/F103+0.0904836*F103/(0.86*B103/25))^0.25*(0.86*B103/25)^2/(F103/1000)^5</f>
        <v>23.807750568832677</v>
      </c>
      <c r="K103" s="92">
        <f t="shared" si="36"/>
        <v>0.24282319796059387</v>
      </c>
      <c r="L103" s="92">
        <f>H103*J103</f>
        <v>0</v>
      </c>
      <c r="M103" s="92">
        <f t="shared" si="38"/>
        <v>0</v>
      </c>
      <c r="N103" s="92">
        <f>D103*4000/(3.1415926*(F103^2))</f>
        <v>0.21782122721945396</v>
      </c>
      <c r="O103" s="92">
        <f>N103^2*983/2</f>
        <v>23.319751773961688</v>
      </c>
      <c r="P103" s="91"/>
      <c r="Q103" s="92">
        <f>O103*P103</f>
        <v>0</v>
      </c>
      <c r="R103" s="92">
        <f t="shared" si="42"/>
        <v>0</v>
      </c>
      <c r="S103" s="92">
        <f>L103+Q103</f>
        <v>0</v>
      </c>
      <c r="T103" s="92">
        <f t="shared" si="44"/>
        <v>0</v>
      </c>
      <c r="U103" s="85" t="s">
        <v>141</v>
      </c>
    </row>
    <row r="104" spans="1:20" ht="21.75" customHeight="1">
      <c r="A104" s="71">
        <v>2</v>
      </c>
      <c r="B104" s="86">
        <f>B103+3456</f>
        <v>8383</v>
      </c>
      <c r="C104" s="92">
        <f t="shared" si="30"/>
        <v>28.610921501706486</v>
      </c>
      <c r="D104" s="92">
        <f aca="true" t="shared" si="64" ref="D104:D117">B104*0.83/$F$5/3600</f>
        <v>0.11643055555555548</v>
      </c>
      <c r="E104" s="92">
        <f t="shared" si="32"/>
        <v>1.8454243055555544</v>
      </c>
      <c r="F104" s="91">
        <v>20</v>
      </c>
      <c r="G104" s="94">
        <f t="shared" si="33"/>
        <v>0.8</v>
      </c>
      <c r="H104" s="91"/>
      <c r="I104" s="94">
        <f t="shared" si="34"/>
        <v>0</v>
      </c>
      <c r="J104" s="97">
        <f aca="true" t="shared" si="65" ref="J104:J117">6.9938*10^-12*(0.2/F104+0.0904836*F104/(0.86*B104/25))^0.25*(0.86*B104/25)^2/(F104/1000)^5</f>
        <v>64.91753460817239</v>
      </c>
      <c r="K104" s="92">
        <f t="shared" si="36"/>
        <v>0.6621156128000735</v>
      </c>
      <c r="L104" s="92">
        <f aca="true" t="shared" si="66" ref="L104:L117">H104*J104</f>
        <v>0</v>
      </c>
      <c r="M104" s="92">
        <f t="shared" si="38"/>
        <v>0</v>
      </c>
      <c r="N104" s="92">
        <f aca="true" t="shared" si="67" ref="N104:N117">D104*4000/(3.1415926*(F104^2))</f>
        <v>0.37060997519396843</v>
      </c>
      <c r="O104" s="92">
        <f aca="true" t="shared" si="68" ref="O104:O117">N104^2*983/2</f>
        <v>67.50838695007413</v>
      </c>
      <c r="P104" s="91"/>
      <c r="Q104" s="92">
        <f aca="true" t="shared" si="69" ref="Q104:Q117">O104*P104</f>
        <v>0</v>
      </c>
      <c r="R104" s="92">
        <f t="shared" si="42"/>
        <v>0</v>
      </c>
      <c r="S104" s="92">
        <f aca="true" t="shared" si="70" ref="S104:S117">L104+Q104</f>
        <v>0</v>
      </c>
      <c r="T104" s="92">
        <f t="shared" si="44"/>
        <v>0</v>
      </c>
    </row>
    <row r="105" spans="1:20" ht="21.75" customHeight="1">
      <c r="A105" s="71">
        <v>3</v>
      </c>
      <c r="B105" s="86">
        <f>B104+1627</f>
        <v>10010</v>
      </c>
      <c r="C105" s="92">
        <f t="shared" si="30"/>
        <v>34.16382252559727</v>
      </c>
      <c r="D105" s="92">
        <f t="shared" si="64"/>
        <v>0.1390277777777777</v>
      </c>
      <c r="E105" s="92">
        <f t="shared" si="32"/>
        <v>2.2035902777777765</v>
      </c>
      <c r="F105" s="91">
        <v>20</v>
      </c>
      <c r="G105" s="94">
        <f t="shared" si="33"/>
        <v>0.8</v>
      </c>
      <c r="H105" s="91"/>
      <c r="I105" s="94">
        <f t="shared" si="34"/>
        <v>0</v>
      </c>
      <c r="J105" s="97">
        <f t="shared" si="65"/>
        <v>91.07607490267557</v>
      </c>
      <c r="K105" s="92">
        <f t="shared" si="36"/>
        <v>0.9289153001509545</v>
      </c>
      <c r="L105" s="92">
        <f t="shared" si="66"/>
        <v>0</v>
      </c>
      <c r="M105" s="92">
        <f t="shared" si="38"/>
        <v>0</v>
      </c>
      <c r="N105" s="92">
        <f t="shared" si="67"/>
        <v>0.44253916875720195</v>
      </c>
      <c r="O105" s="92">
        <f t="shared" si="68"/>
        <v>96.25581015714096</v>
      </c>
      <c r="P105" s="91"/>
      <c r="Q105" s="92">
        <f t="shared" si="69"/>
        <v>0</v>
      </c>
      <c r="R105" s="92">
        <f t="shared" si="42"/>
        <v>0</v>
      </c>
      <c r="S105" s="92">
        <f t="shared" si="70"/>
        <v>0</v>
      </c>
      <c r="T105" s="92">
        <f t="shared" si="44"/>
        <v>0</v>
      </c>
    </row>
    <row r="106" spans="1:20" ht="21.75" customHeight="1">
      <c r="A106" s="71">
        <v>4</v>
      </c>
      <c r="B106" s="86">
        <f>B105+5440</f>
        <v>15450</v>
      </c>
      <c r="C106" s="92">
        <f t="shared" si="30"/>
        <v>52.73037542662116</v>
      </c>
      <c r="D106" s="92">
        <f t="shared" si="64"/>
        <v>0.21458333333333324</v>
      </c>
      <c r="E106" s="92">
        <f t="shared" si="32"/>
        <v>3.4011458333333318</v>
      </c>
      <c r="F106" s="91">
        <v>25</v>
      </c>
      <c r="G106" s="94">
        <f t="shared" si="33"/>
        <v>1</v>
      </c>
      <c r="H106" s="91"/>
      <c r="I106" s="94">
        <f t="shared" si="34"/>
        <v>0</v>
      </c>
      <c r="J106" s="97">
        <f t="shared" si="65"/>
        <v>67.30945254338339</v>
      </c>
      <c r="K106" s="92">
        <f t="shared" si="36"/>
        <v>0.686511582533039</v>
      </c>
      <c r="L106" s="92">
        <f t="shared" si="66"/>
        <v>0</v>
      </c>
      <c r="M106" s="92">
        <f t="shared" si="38"/>
        <v>0</v>
      </c>
      <c r="N106" s="92">
        <f t="shared" si="67"/>
        <v>0.43714558448263874</v>
      </c>
      <c r="O106" s="92">
        <f t="shared" si="68"/>
        <v>93.92381278905624</v>
      </c>
      <c r="P106" s="91"/>
      <c r="Q106" s="92">
        <f t="shared" si="69"/>
        <v>0</v>
      </c>
      <c r="R106" s="92">
        <f t="shared" si="42"/>
        <v>0</v>
      </c>
      <c r="S106" s="92">
        <f t="shared" si="70"/>
        <v>0</v>
      </c>
      <c r="T106" s="92">
        <f t="shared" si="44"/>
        <v>0</v>
      </c>
    </row>
    <row r="107" spans="1:20" ht="21.75" customHeight="1">
      <c r="A107" s="71">
        <v>5</v>
      </c>
      <c r="B107" s="86">
        <f>B106+4700</f>
        <v>20150</v>
      </c>
      <c r="C107" s="92">
        <f t="shared" si="30"/>
        <v>68.77133105802048</v>
      </c>
      <c r="D107" s="92">
        <f t="shared" si="64"/>
        <v>0.27986111111111095</v>
      </c>
      <c r="E107" s="92">
        <f t="shared" si="32"/>
        <v>4.4357986111111085</v>
      </c>
      <c r="F107" s="91">
        <v>25</v>
      </c>
      <c r="G107" s="94">
        <f t="shared" si="33"/>
        <v>1</v>
      </c>
      <c r="H107" s="91"/>
      <c r="I107" s="94">
        <f t="shared" si="34"/>
        <v>0</v>
      </c>
      <c r="J107" s="97">
        <f t="shared" si="65"/>
        <v>112.09802695109813</v>
      </c>
      <c r="K107" s="92">
        <f t="shared" si="36"/>
        <v>1.1433252087651185</v>
      </c>
      <c r="L107" s="92">
        <f t="shared" si="66"/>
        <v>0</v>
      </c>
      <c r="M107" s="92">
        <f t="shared" si="38"/>
        <v>0</v>
      </c>
      <c r="N107" s="92">
        <f t="shared" si="67"/>
        <v>0.5701283836456421</v>
      </c>
      <c r="O107" s="92">
        <f t="shared" si="68"/>
        <v>159.76029274156988</v>
      </c>
      <c r="P107" s="91"/>
      <c r="Q107" s="92">
        <f t="shared" si="69"/>
        <v>0</v>
      </c>
      <c r="R107" s="92">
        <f t="shared" si="42"/>
        <v>0</v>
      </c>
      <c r="S107" s="92">
        <f t="shared" si="70"/>
        <v>0</v>
      </c>
      <c r="T107" s="92">
        <f t="shared" si="44"/>
        <v>0</v>
      </c>
    </row>
    <row r="108" spans="1:20" ht="21.75" customHeight="1">
      <c r="A108" s="71">
        <v>6</v>
      </c>
      <c r="B108" s="86">
        <f>B107+6660</f>
        <v>26810</v>
      </c>
      <c r="C108" s="92">
        <f t="shared" si="30"/>
        <v>91.50170648464164</v>
      </c>
      <c r="D108" s="92">
        <f t="shared" si="64"/>
        <v>0.3723611111111109</v>
      </c>
      <c r="E108" s="92">
        <f t="shared" si="32"/>
        <v>5.9019236111111075</v>
      </c>
      <c r="F108" s="91">
        <v>25</v>
      </c>
      <c r="G108" s="94">
        <f t="shared" si="33"/>
        <v>1</v>
      </c>
      <c r="H108" s="91"/>
      <c r="I108" s="94">
        <f t="shared" si="34"/>
        <v>0</v>
      </c>
      <c r="J108" s="97">
        <f t="shared" si="65"/>
        <v>194.77418594050857</v>
      </c>
      <c r="K108" s="92">
        <f t="shared" si="36"/>
        <v>1.9865669616079396</v>
      </c>
      <c r="L108" s="92">
        <f t="shared" si="66"/>
        <v>0</v>
      </c>
      <c r="M108" s="92">
        <f t="shared" si="38"/>
        <v>0</v>
      </c>
      <c r="N108" s="92">
        <f t="shared" si="67"/>
        <v>0.7585678394808767</v>
      </c>
      <c r="O108" s="92">
        <f t="shared" si="68"/>
        <v>282.82146962703774</v>
      </c>
      <c r="P108" s="91"/>
      <c r="Q108" s="92">
        <f t="shared" si="69"/>
        <v>0</v>
      </c>
      <c r="R108" s="92">
        <f t="shared" si="42"/>
        <v>0</v>
      </c>
      <c r="S108" s="92">
        <f t="shared" si="70"/>
        <v>0</v>
      </c>
      <c r="T108" s="92">
        <f t="shared" si="44"/>
        <v>0</v>
      </c>
    </row>
    <row r="109" spans="1:20" ht="21.75" customHeight="1">
      <c r="A109" s="71">
        <v>7</v>
      </c>
      <c r="B109" s="86">
        <f>B108+5875</f>
        <v>32685</v>
      </c>
      <c r="C109" s="92">
        <f t="shared" si="30"/>
        <v>111.55290102389078</v>
      </c>
      <c r="D109" s="92">
        <f t="shared" si="64"/>
        <v>0.4539583333333331</v>
      </c>
      <c r="E109" s="92">
        <f t="shared" si="32"/>
        <v>7.195239583333329</v>
      </c>
      <c r="F109" s="91">
        <v>32</v>
      </c>
      <c r="G109" s="94">
        <f t="shared" si="33"/>
        <v>1.28</v>
      </c>
      <c r="H109" s="91"/>
      <c r="I109" s="94">
        <f t="shared" si="34"/>
        <v>0</v>
      </c>
      <c r="J109" s="97">
        <f t="shared" si="65"/>
        <v>80.76225982184111</v>
      </c>
      <c r="K109" s="92">
        <f t="shared" si="36"/>
        <v>0.823721256141562</v>
      </c>
      <c r="L109" s="92">
        <f t="shared" si="66"/>
        <v>0</v>
      </c>
      <c r="M109" s="92">
        <f t="shared" si="38"/>
        <v>0</v>
      </c>
      <c r="N109" s="92">
        <f t="shared" si="67"/>
        <v>0.5644508901578557</v>
      </c>
      <c r="O109" s="92">
        <f t="shared" si="68"/>
        <v>156.59426283709786</v>
      </c>
      <c r="P109" s="91"/>
      <c r="Q109" s="92">
        <f t="shared" si="69"/>
        <v>0</v>
      </c>
      <c r="R109" s="92">
        <f t="shared" si="42"/>
        <v>0</v>
      </c>
      <c r="S109" s="92">
        <f t="shared" si="70"/>
        <v>0</v>
      </c>
      <c r="T109" s="92">
        <f t="shared" si="44"/>
        <v>0</v>
      </c>
    </row>
    <row r="110" spans="1:20" ht="21.75" customHeight="1">
      <c r="A110" s="71">
        <v>8</v>
      </c>
      <c r="B110" s="86">
        <f>B109+1840</f>
        <v>34525</v>
      </c>
      <c r="C110" s="92">
        <f t="shared" si="30"/>
        <v>117.83276450511946</v>
      </c>
      <c r="D110" s="92">
        <f t="shared" si="64"/>
        <v>0.47951388888888863</v>
      </c>
      <c r="E110" s="92">
        <f t="shared" si="32"/>
        <v>7.600295138888884</v>
      </c>
      <c r="F110" s="91">
        <v>32</v>
      </c>
      <c r="G110" s="94">
        <f t="shared" si="33"/>
        <v>1.28</v>
      </c>
      <c r="H110" s="91"/>
      <c r="I110" s="94">
        <f t="shared" si="34"/>
        <v>0</v>
      </c>
      <c r="J110" s="97">
        <f t="shared" si="65"/>
        <v>89.75881496631924</v>
      </c>
      <c r="K110" s="92">
        <f t="shared" si="36"/>
        <v>0.9154801261992351</v>
      </c>
      <c r="L110" s="92">
        <f t="shared" si="66"/>
        <v>0</v>
      </c>
      <c r="M110" s="92">
        <f t="shared" si="38"/>
        <v>0</v>
      </c>
      <c r="N110" s="92">
        <f t="shared" si="67"/>
        <v>0.5962266171852522</v>
      </c>
      <c r="O110" s="92">
        <f t="shared" si="68"/>
        <v>174.72145699824316</v>
      </c>
      <c r="P110" s="91"/>
      <c r="Q110" s="92">
        <f t="shared" si="69"/>
        <v>0</v>
      </c>
      <c r="R110" s="92">
        <f t="shared" si="42"/>
        <v>0</v>
      </c>
      <c r="S110" s="92">
        <f t="shared" si="70"/>
        <v>0</v>
      </c>
      <c r="T110" s="92">
        <f t="shared" si="44"/>
        <v>0</v>
      </c>
    </row>
    <row r="111" spans="1:20" ht="21.75" customHeight="1">
      <c r="A111" s="71">
        <v>9</v>
      </c>
      <c r="B111" s="86">
        <f>B110+5180</f>
        <v>39705</v>
      </c>
      <c r="C111" s="92">
        <f t="shared" si="30"/>
        <v>135.51194539249147</v>
      </c>
      <c r="D111" s="92">
        <f t="shared" si="64"/>
        <v>0.551458333333333</v>
      </c>
      <c r="E111" s="92">
        <f t="shared" si="32"/>
        <v>8.740614583333329</v>
      </c>
      <c r="F111" s="91">
        <v>32</v>
      </c>
      <c r="G111" s="94">
        <f t="shared" si="33"/>
        <v>1.28</v>
      </c>
      <c r="H111" s="91"/>
      <c r="I111" s="94">
        <f t="shared" si="34"/>
        <v>0</v>
      </c>
      <c r="J111" s="97">
        <f t="shared" si="65"/>
        <v>117.61175294719285</v>
      </c>
      <c r="K111" s="92">
        <f t="shared" si="36"/>
        <v>1.1995615413484628</v>
      </c>
      <c r="L111" s="92">
        <f t="shared" si="66"/>
        <v>0</v>
      </c>
      <c r="M111" s="92">
        <f t="shared" si="38"/>
        <v>0</v>
      </c>
      <c r="N111" s="92">
        <f t="shared" si="67"/>
        <v>0.6856821965341184</v>
      </c>
      <c r="O111" s="92">
        <f t="shared" si="68"/>
        <v>231.08367668745396</v>
      </c>
      <c r="P111" s="91"/>
      <c r="Q111" s="92">
        <f t="shared" si="69"/>
        <v>0</v>
      </c>
      <c r="R111" s="92">
        <f t="shared" si="42"/>
        <v>0</v>
      </c>
      <c r="S111" s="92">
        <f t="shared" si="70"/>
        <v>0</v>
      </c>
      <c r="T111" s="92">
        <f t="shared" si="44"/>
        <v>0</v>
      </c>
    </row>
    <row r="112" spans="1:20" ht="21.75" customHeight="1">
      <c r="A112" s="71">
        <v>10</v>
      </c>
      <c r="B112" s="86">
        <f>B111+4500</f>
        <v>44205</v>
      </c>
      <c r="C112" s="92">
        <f t="shared" si="30"/>
        <v>150.8703071672355</v>
      </c>
      <c r="D112" s="92">
        <f t="shared" si="64"/>
        <v>0.613958333333333</v>
      </c>
      <c r="E112" s="92">
        <f t="shared" si="32"/>
        <v>9.731239583333329</v>
      </c>
      <c r="F112" s="91">
        <v>32</v>
      </c>
      <c r="G112" s="94">
        <f t="shared" si="33"/>
        <v>1.28</v>
      </c>
      <c r="H112" s="91"/>
      <c r="I112" s="94">
        <f t="shared" si="34"/>
        <v>0</v>
      </c>
      <c r="J112" s="97">
        <f t="shared" si="65"/>
        <v>144.83282958127384</v>
      </c>
      <c r="K112" s="92">
        <f t="shared" si="36"/>
        <v>1.4771983916299483</v>
      </c>
      <c r="L112" s="92">
        <f t="shared" si="66"/>
        <v>0</v>
      </c>
      <c r="M112" s="92">
        <f t="shared" si="38"/>
        <v>0</v>
      </c>
      <c r="N112" s="92">
        <f t="shared" si="67"/>
        <v>0.7633945724163381</v>
      </c>
      <c r="O112" s="92">
        <f t="shared" si="68"/>
        <v>286.43208077520666</v>
      </c>
      <c r="P112" s="91"/>
      <c r="Q112" s="92">
        <f t="shared" si="69"/>
        <v>0</v>
      </c>
      <c r="R112" s="92">
        <f t="shared" si="42"/>
        <v>0</v>
      </c>
      <c r="S112" s="92">
        <f t="shared" si="70"/>
        <v>0</v>
      </c>
      <c r="T112" s="92">
        <f t="shared" si="44"/>
        <v>0</v>
      </c>
    </row>
    <row r="113" spans="1:20" ht="21.75" customHeight="1">
      <c r="A113" s="71">
        <v>11</v>
      </c>
      <c r="B113" s="86">
        <f>B112+4305</f>
        <v>48510</v>
      </c>
      <c r="C113" s="92">
        <f t="shared" si="30"/>
        <v>165.5631399317406</v>
      </c>
      <c r="D113" s="92">
        <f t="shared" si="64"/>
        <v>0.6737499999999996</v>
      </c>
      <c r="E113" s="92">
        <f t="shared" si="32"/>
        <v>10.678937499999995</v>
      </c>
      <c r="F113" s="91">
        <v>32</v>
      </c>
      <c r="G113" s="94">
        <f t="shared" si="33"/>
        <v>1.28</v>
      </c>
      <c r="H113" s="91"/>
      <c r="I113" s="94">
        <f t="shared" si="34"/>
        <v>0</v>
      </c>
      <c r="J113" s="97">
        <f t="shared" si="65"/>
        <v>173.50546029980651</v>
      </c>
      <c r="K113" s="92">
        <f t="shared" si="36"/>
        <v>1.76964012672322</v>
      </c>
      <c r="L113" s="92">
        <f t="shared" si="66"/>
        <v>0</v>
      </c>
      <c r="M113" s="92">
        <f t="shared" si="38"/>
        <v>0</v>
      </c>
      <c r="N113" s="92">
        <f t="shared" si="67"/>
        <v>0.8377394120103283</v>
      </c>
      <c r="O113" s="92">
        <f t="shared" si="68"/>
        <v>344.93829897700437</v>
      </c>
      <c r="P113" s="91"/>
      <c r="Q113" s="92">
        <f t="shared" si="69"/>
        <v>0</v>
      </c>
      <c r="R113" s="92">
        <f t="shared" si="42"/>
        <v>0</v>
      </c>
      <c r="S113" s="92">
        <f t="shared" si="70"/>
        <v>0</v>
      </c>
      <c r="T113" s="92">
        <f t="shared" si="44"/>
        <v>0</v>
      </c>
    </row>
    <row r="114" spans="1:20" ht="21.75" customHeight="1">
      <c r="A114" s="71">
        <v>12</v>
      </c>
      <c r="B114" s="86">
        <f>B113+1470</f>
        <v>49980</v>
      </c>
      <c r="C114" s="92">
        <f t="shared" si="30"/>
        <v>170.580204778157</v>
      </c>
      <c r="D114" s="92">
        <f t="shared" si="64"/>
        <v>0.6941666666666663</v>
      </c>
      <c r="E114" s="92">
        <f t="shared" si="32"/>
        <v>11.00254166666666</v>
      </c>
      <c r="F114" s="91">
        <v>32</v>
      </c>
      <c r="G114" s="94">
        <f t="shared" si="33"/>
        <v>1.28</v>
      </c>
      <c r="H114" s="91"/>
      <c r="I114" s="94">
        <f t="shared" si="34"/>
        <v>0</v>
      </c>
      <c r="J114" s="97">
        <f t="shared" si="65"/>
        <v>183.8852857487901</v>
      </c>
      <c r="K114" s="92">
        <f t="shared" si="36"/>
        <v>1.8755074325196168</v>
      </c>
      <c r="L114" s="92">
        <f t="shared" si="66"/>
        <v>0</v>
      </c>
      <c r="M114" s="92">
        <f t="shared" si="38"/>
        <v>0</v>
      </c>
      <c r="N114" s="92">
        <f t="shared" si="67"/>
        <v>0.8631254547985201</v>
      </c>
      <c r="O114" s="92">
        <f t="shared" si="68"/>
        <v>366.16039817944625</v>
      </c>
      <c r="P114" s="91"/>
      <c r="Q114" s="92">
        <f t="shared" si="69"/>
        <v>0</v>
      </c>
      <c r="R114" s="92">
        <f t="shared" si="42"/>
        <v>0</v>
      </c>
      <c r="S114" s="92">
        <f t="shared" si="70"/>
        <v>0</v>
      </c>
      <c r="T114" s="92">
        <f t="shared" si="44"/>
        <v>0</v>
      </c>
    </row>
    <row r="115" spans="1:20" ht="21.75" customHeight="1">
      <c r="A115" s="71">
        <v>13</v>
      </c>
      <c r="B115" s="86">
        <f>B114+4430</f>
        <v>54410</v>
      </c>
      <c r="C115" s="92">
        <f t="shared" si="30"/>
        <v>185.69965870307166</v>
      </c>
      <c r="D115" s="92">
        <f t="shared" si="64"/>
        <v>0.7556944444444439</v>
      </c>
      <c r="E115" s="92">
        <f t="shared" si="32"/>
        <v>11.977756944444435</v>
      </c>
      <c r="F115" s="91">
        <v>32</v>
      </c>
      <c r="G115" s="94">
        <f t="shared" si="33"/>
        <v>1.28</v>
      </c>
      <c r="H115" s="91"/>
      <c r="I115" s="94">
        <f t="shared" si="34"/>
        <v>0</v>
      </c>
      <c r="J115" s="97">
        <f t="shared" si="65"/>
        <v>216.9797273048855</v>
      </c>
      <c r="K115" s="92">
        <f t="shared" si="36"/>
        <v>2.213048692880909</v>
      </c>
      <c r="L115" s="92">
        <f t="shared" si="66"/>
        <v>0</v>
      </c>
      <c r="M115" s="92">
        <f t="shared" si="38"/>
        <v>0</v>
      </c>
      <c r="N115" s="92">
        <f t="shared" si="67"/>
        <v>0.9396289715003495</v>
      </c>
      <c r="O115" s="92">
        <f t="shared" si="68"/>
        <v>433.9466299066985</v>
      </c>
      <c r="P115" s="91"/>
      <c r="Q115" s="92">
        <f t="shared" si="69"/>
        <v>0</v>
      </c>
      <c r="R115" s="92">
        <f t="shared" si="42"/>
        <v>0</v>
      </c>
      <c r="S115" s="92">
        <f t="shared" si="70"/>
        <v>0</v>
      </c>
      <c r="T115" s="92">
        <f t="shared" si="44"/>
        <v>0</v>
      </c>
    </row>
    <row r="116" spans="1:20" ht="21.75" customHeight="1">
      <c r="A116" s="71">
        <v>14</v>
      </c>
      <c r="B116" s="86">
        <f>B115+4870</f>
        <v>59280</v>
      </c>
      <c r="C116" s="92">
        <f t="shared" si="30"/>
        <v>202.320819112628</v>
      </c>
      <c r="D116" s="92">
        <f t="shared" si="64"/>
        <v>0.8233333333333328</v>
      </c>
      <c r="E116" s="92">
        <f t="shared" si="32"/>
        <v>13.049833333333325</v>
      </c>
      <c r="F116" s="91">
        <v>40</v>
      </c>
      <c r="G116" s="94">
        <f t="shared" si="33"/>
        <v>1.6</v>
      </c>
      <c r="H116" s="91"/>
      <c r="I116" s="94">
        <f t="shared" si="34"/>
        <v>0</v>
      </c>
      <c r="J116" s="97">
        <f t="shared" si="65"/>
        <v>81.48385195114648</v>
      </c>
      <c r="K116" s="92">
        <f t="shared" si="36"/>
        <v>0.8310810152231488</v>
      </c>
      <c r="L116" s="92">
        <f t="shared" si="66"/>
        <v>0</v>
      </c>
      <c r="M116" s="92">
        <f t="shared" si="38"/>
        <v>0</v>
      </c>
      <c r="N116" s="92">
        <f t="shared" si="67"/>
        <v>0.6551878602379353</v>
      </c>
      <c r="O116" s="92">
        <f t="shared" si="68"/>
        <v>210.9867614778552</v>
      </c>
      <c r="P116" s="91"/>
      <c r="Q116" s="92">
        <f t="shared" si="69"/>
        <v>0</v>
      </c>
      <c r="R116" s="92">
        <f t="shared" si="42"/>
        <v>0</v>
      </c>
      <c r="S116" s="92">
        <f t="shared" si="70"/>
        <v>0</v>
      </c>
      <c r="T116" s="92">
        <f t="shared" si="44"/>
        <v>0</v>
      </c>
    </row>
    <row r="117" spans="1:20" ht="21.75" customHeight="1">
      <c r="A117" s="71">
        <v>15</v>
      </c>
      <c r="B117" s="86">
        <f>B116+4882+4882</f>
        <v>69044</v>
      </c>
      <c r="C117" s="92">
        <f t="shared" si="30"/>
        <v>235.64505119453923</v>
      </c>
      <c r="D117" s="92">
        <f t="shared" si="64"/>
        <v>0.9589444444444439</v>
      </c>
      <c r="E117" s="92">
        <f t="shared" si="32"/>
        <v>15.199269444444436</v>
      </c>
      <c r="F117" s="91">
        <v>40</v>
      </c>
      <c r="G117" s="94">
        <f t="shared" si="33"/>
        <v>1.6</v>
      </c>
      <c r="H117" s="91"/>
      <c r="I117" s="94">
        <f t="shared" si="34"/>
        <v>0</v>
      </c>
      <c r="J117" s="97">
        <f t="shared" si="65"/>
        <v>109.49850933447325</v>
      </c>
      <c r="K117" s="92">
        <f t="shared" si="36"/>
        <v>1.1168118605595092</v>
      </c>
      <c r="L117" s="92">
        <f t="shared" si="66"/>
        <v>0</v>
      </c>
      <c r="M117" s="92">
        <f t="shared" si="38"/>
        <v>0</v>
      </c>
      <c r="N117" s="92">
        <f t="shared" si="67"/>
        <v>0.76310375543637</v>
      </c>
      <c r="O117" s="92">
        <f t="shared" si="68"/>
        <v>286.21388837727636</v>
      </c>
      <c r="P117" s="91"/>
      <c r="Q117" s="92">
        <f t="shared" si="69"/>
        <v>0</v>
      </c>
      <c r="R117" s="92">
        <f t="shared" si="42"/>
        <v>0</v>
      </c>
      <c r="S117" s="92">
        <f t="shared" si="70"/>
        <v>0</v>
      </c>
      <c r="T117" s="92">
        <f t="shared" si="44"/>
        <v>0</v>
      </c>
    </row>
    <row r="118" spans="1:20" ht="21.75" customHeight="1">
      <c r="A118" s="71" t="s">
        <v>144</v>
      </c>
      <c r="B118" s="86">
        <f>B117+2604</f>
        <v>71648</v>
      </c>
      <c r="C118" s="92">
        <f t="shared" si="30"/>
        <v>244.53242320819112</v>
      </c>
      <c r="D118" s="92">
        <f>B118*0.83/$F$5/3600</f>
        <v>0.9951111111111105</v>
      </c>
      <c r="E118" s="92">
        <f t="shared" si="32"/>
        <v>15.7725111111111</v>
      </c>
      <c r="F118" s="91">
        <v>41</v>
      </c>
      <c r="G118" s="94">
        <f t="shared" si="33"/>
        <v>1.64</v>
      </c>
      <c r="H118" s="91"/>
      <c r="I118" s="94">
        <f t="shared" si="34"/>
        <v>0</v>
      </c>
      <c r="J118" s="97">
        <f>6.9938*10^-12*(0.2/F118+0.0904836*F118/(0.86*B118/25))^0.25*(0.86*B118/25)^2/(F118/1000)^5</f>
        <v>103.65236607274113</v>
      </c>
      <c r="K118" s="92">
        <f t="shared" si="36"/>
        <v>1.0571850932828064</v>
      </c>
      <c r="L118" s="92">
        <f>H118*J118</f>
        <v>0</v>
      </c>
      <c r="M118" s="92">
        <f t="shared" si="38"/>
        <v>0</v>
      </c>
      <c r="N118" s="92">
        <f>D118*4000/(3.1415926*(F118^2))</f>
        <v>0.7537268528762375</v>
      </c>
      <c r="O118" s="92">
        <f>N118^2*983/2</f>
        <v>279.22319893901164</v>
      </c>
      <c r="P118" s="91"/>
      <c r="Q118" s="92">
        <f>O118*P118</f>
        <v>0</v>
      </c>
      <c r="R118" s="92">
        <f t="shared" si="42"/>
        <v>0</v>
      </c>
      <c r="S118" s="92">
        <f>L118+Q118</f>
        <v>0</v>
      </c>
      <c r="T118" s="92">
        <f t="shared" si="44"/>
        <v>0</v>
      </c>
    </row>
    <row r="119" spans="1:20" ht="21.75" customHeight="1">
      <c r="A119" s="71">
        <v>16</v>
      </c>
      <c r="B119" s="86">
        <f>B117+5440</f>
        <v>74484</v>
      </c>
      <c r="C119" s="92">
        <f t="shared" si="30"/>
        <v>254.21160409556313</v>
      </c>
      <c r="D119" s="92">
        <f aca="true" t="shared" si="71" ref="D119:D180">B119*0.83/$F$5/3600</f>
        <v>1.0344999999999993</v>
      </c>
      <c r="E119" s="92">
        <f t="shared" si="32"/>
        <v>16.39682499999999</v>
      </c>
      <c r="F119" s="91">
        <v>40</v>
      </c>
      <c r="G119" s="94">
        <f t="shared" si="33"/>
        <v>1.6</v>
      </c>
      <c r="H119" s="91"/>
      <c r="I119" s="94">
        <f t="shared" si="34"/>
        <v>0</v>
      </c>
      <c r="J119" s="97">
        <f aca="true" t="shared" si="72" ref="J119:J180">6.9938*10^-12*(0.2/F119+0.0904836*F119/(0.86*B119/25))^0.25*(0.86*B119/25)^2/(F119/1000)^5</f>
        <v>126.88610451864548</v>
      </c>
      <c r="K119" s="92">
        <f t="shared" si="36"/>
        <v>1.2941537499269233</v>
      </c>
      <c r="L119" s="92">
        <f aca="true" t="shared" si="73" ref="L119:L180">H119*J119</f>
        <v>0</v>
      </c>
      <c r="M119" s="92">
        <f t="shared" si="38"/>
        <v>0</v>
      </c>
      <c r="N119" s="92">
        <f aca="true" t="shared" si="74" ref="N119:N180">D119*4000/(3.1415926*(F119^2))</f>
        <v>0.8232289571856001</v>
      </c>
      <c r="O119" s="92">
        <f aca="true" t="shared" si="75" ref="O119:O180">N119^2*983/2</f>
        <v>333.0924576888797</v>
      </c>
      <c r="P119" s="91"/>
      <c r="Q119" s="92">
        <f aca="true" t="shared" si="76" ref="Q119:Q180">O119*P119</f>
        <v>0</v>
      </c>
      <c r="R119" s="92">
        <f t="shared" si="42"/>
        <v>0</v>
      </c>
      <c r="S119" s="92">
        <f aca="true" t="shared" si="77" ref="S119:S180">L119+Q119</f>
        <v>0</v>
      </c>
      <c r="T119" s="92">
        <f t="shared" si="44"/>
        <v>0</v>
      </c>
    </row>
    <row r="120" spans="1:20" ht="21.75" customHeight="1">
      <c r="A120" s="71">
        <v>17</v>
      </c>
      <c r="B120" s="86">
        <f>B119+3820</f>
        <v>78304</v>
      </c>
      <c r="C120" s="92">
        <f t="shared" si="30"/>
        <v>267.24914675767917</v>
      </c>
      <c r="D120" s="92">
        <f t="shared" si="71"/>
        <v>1.087555555555555</v>
      </c>
      <c r="E120" s="92">
        <f t="shared" si="32"/>
        <v>17.237755555555545</v>
      </c>
      <c r="F120" s="91">
        <v>40</v>
      </c>
      <c r="G120" s="94">
        <f t="shared" si="33"/>
        <v>1.6</v>
      </c>
      <c r="H120" s="91"/>
      <c r="I120" s="94">
        <f t="shared" si="34"/>
        <v>0</v>
      </c>
      <c r="J120" s="97">
        <f t="shared" si="72"/>
        <v>139.85658054037359</v>
      </c>
      <c r="K120" s="92">
        <f t="shared" si="36"/>
        <v>1.4264439659875012</v>
      </c>
      <c r="L120" s="92">
        <f t="shared" si="73"/>
        <v>0</v>
      </c>
      <c r="M120" s="92">
        <f t="shared" si="38"/>
        <v>0</v>
      </c>
      <c r="N120" s="92">
        <f t="shared" si="74"/>
        <v>0.8654492275315671</v>
      </c>
      <c r="O120" s="92">
        <f t="shared" si="75"/>
        <v>368.13466261129565</v>
      </c>
      <c r="P120" s="91"/>
      <c r="Q120" s="92">
        <f t="shared" si="76"/>
        <v>0</v>
      </c>
      <c r="R120" s="92">
        <f t="shared" si="42"/>
        <v>0</v>
      </c>
      <c r="S120" s="92">
        <f t="shared" si="77"/>
        <v>0</v>
      </c>
      <c r="T120" s="92">
        <f t="shared" si="44"/>
        <v>0</v>
      </c>
    </row>
    <row r="121" spans="1:20" ht="21.75" customHeight="1">
      <c r="A121" s="71">
        <v>18</v>
      </c>
      <c r="B121" s="86">
        <f>B120+5440</f>
        <v>83744</v>
      </c>
      <c r="C121" s="92">
        <f t="shared" si="30"/>
        <v>285.81569965870307</v>
      </c>
      <c r="D121" s="92">
        <f t="shared" si="71"/>
        <v>1.1631111111111103</v>
      </c>
      <c r="E121" s="92">
        <f t="shared" si="32"/>
        <v>18.435311111111098</v>
      </c>
      <c r="F121" s="91">
        <v>40</v>
      </c>
      <c r="G121" s="94">
        <f t="shared" si="33"/>
        <v>1.6</v>
      </c>
      <c r="H121" s="91"/>
      <c r="I121" s="94">
        <f t="shared" si="34"/>
        <v>0</v>
      </c>
      <c r="J121" s="97">
        <f t="shared" si="72"/>
        <v>159.41095129808366</v>
      </c>
      <c r="K121" s="92">
        <f t="shared" si="36"/>
        <v>1.6258855229614029</v>
      </c>
      <c r="L121" s="92">
        <f t="shared" si="73"/>
        <v>0</v>
      </c>
      <c r="M121" s="92">
        <f t="shared" si="38"/>
        <v>0</v>
      </c>
      <c r="N121" s="92">
        <f t="shared" si="74"/>
        <v>0.9255744292807973</v>
      </c>
      <c r="O121" s="92">
        <f t="shared" si="75"/>
        <v>421.06216386405976</v>
      </c>
      <c r="P121" s="91"/>
      <c r="Q121" s="92">
        <f t="shared" si="76"/>
        <v>0</v>
      </c>
      <c r="R121" s="92">
        <f t="shared" si="42"/>
        <v>0</v>
      </c>
      <c r="S121" s="92">
        <f t="shared" si="77"/>
        <v>0</v>
      </c>
      <c r="T121" s="92">
        <f t="shared" si="44"/>
        <v>0</v>
      </c>
    </row>
    <row r="122" spans="1:20" ht="21.75" customHeight="1">
      <c r="A122" s="71">
        <v>19</v>
      </c>
      <c r="B122" s="86">
        <f>B121+5270</f>
        <v>89014</v>
      </c>
      <c r="C122" s="92">
        <f aca="true" t="shared" si="78" ref="C122:C180">B122/293</f>
        <v>303.80204778156997</v>
      </c>
      <c r="D122" s="92">
        <f t="shared" si="71"/>
        <v>1.2363055555555547</v>
      </c>
      <c r="E122" s="92">
        <f aca="true" t="shared" si="79" ref="E122:E180">D122*15.85</f>
        <v>19.595443055555542</v>
      </c>
      <c r="F122" s="91">
        <v>40</v>
      </c>
      <c r="G122" s="94">
        <f aca="true" t="shared" si="80" ref="G122:G180">F122/25</f>
        <v>1.6</v>
      </c>
      <c r="H122" s="91"/>
      <c r="I122" s="94">
        <f aca="true" t="shared" si="81" ref="I122:I180">H122*3.28</f>
        <v>0</v>
      </c>
      <c r="J122" s="97">
        <f t="shared" si="72"/>
        <v>179.56794513045344</v>
      </c>
      <c r="K122" s="92">
        <f aca="true" t="shared" si="82" ref="K122:K180">J122*8.33/249/3.28</f>
        <v>1.8314734339022887</v>
      </c>
      <c r="L122" s="92">
        <f t="shared" si="73"/>
        <v>0</v>
      </c>
      <c r="M122" s="92">
        <f aca="true" t="shared" si="83" ref="M122:M180">L122/249</f>
        <v>0</v>
      </c>
      <c r="N122" s="92">
        <f t="shared" si="74"/>
        <v>0.983820718475364</v>
      </c>
      <c r="O122" s="92">
        <f t="shared" si="75"/>
        <v>475.724425798829</v>
      </c>
      <c r="P122" s="91"/>
      <c r="Q122" s="92">
        <f t="shared" si="76"/>
        <v>0</v>
      </c>
      <c r="R122" s="92">
        <f aca="true" t="shared" si="84" ref="R122:R180">Q122/249</f>
        <v>0</v>
      </c>
      <c r="S122" s="92">
        <f t="shared" si="77"/>
        <v>0</v>
      </c>
      <c r="T122" s="92">
        <f aca="true" t="shared" si="85" ref="T122:T180">S122/249</f>
        <v>0</v>
      </c>
    </row>
    <row r="123" spans="1:20" ht="21.75" customHeight="1">
      <c r="A123" s="71">
        <v>20</v>
      </c>
      <c r="B123" s="86">
        <f>B122+5270</f>
        <v>94284</v>
      </c>
      <c r="C123" s="92">
        <f t="shared" si="78"/>
        <v>321.78839590443687</v>
      </c>
      <c r="D123" s="92">
        <f t="shared" si="71"/>
        <v>1.3094999999999994</v>
      </c>
      <c r="E123" s="92">
        <f t="shared" si="79"/>
        <v>20.75557499999999</v>
      </c>
      <c r="F123" s="91">
        <v>50</v>
      </c>
      <c r="G123" s="94">
        <f t="shared" si="80"/>
        <v>2</v>
      </c>
      <c r="H123" s="91"/>
      <c r="I123" s="94">
        <f t="shared" si="81"/>
        <v>0</v>
      </c>
      <c r="J123" s="97">
        <f t="shared" si="72"/>
        <v>63.804593126116195</v>
      </c>
      <c r="K123" s="92">
        <f t="shared" si="82"/>
        <v>0.6507643509899941</v>
      </c>
      <c r="L123" s="92">
        <f t="shared" si="73"/>
        <v>0</v>
      </c>
      <c r="M123" s="92">
        <f t="shared" si="83"/>
        <v>0</v>
      </c>
      <c r="N123" s="92">
        <f t="shared" si="74"/>
        <v>0.666922884908756</v>
      </c>
      <c r="O123" s="92">
        <f t="shared" si="75"/>
        <v>218.61238506498123</v>
      </c>
      <c r="P123" s="91"/>
      <c r="Q123" s="92">
        <f t="shared" si="76"/>
        <v>0</v>
      </c>
      <c r="R123" s="92">
        <f t="shared" si="84"/>
        <v>0</v>
      </c>
      <c r="S123" s="92">
        <f t="shared" si="77"/>
        <v>0</v>
      </c>
      <c r="T123" s="92">
        <f t="shared" si="85"/>
        <v>0</v>
      </c>
    </row>
    <row r="124" spans="1:20" ht="21.75" customHeight="1">
      <c r="A124" s="71">
        <v>21</v>
      </c>
      <c r="B124" s="86">
        <f>B123+5270</f>
        <v>99554</v>
      </c>
      <c r="C124" s="92">
        <f t="shared" si="78"/>
        <v>339.77474402730377</v>
      </c>
      <c r="D124" s="92">
        <f t="shared" si="71"/>
        <v>1.3826944444444436</v>
      </c>
      <c r="E124" s="92">
        <f t="shared" si="79"/>
        <v>21.91570694444443</v>
      </c>
      <c r="F124" s="91">
        <v>50</v>
      </c>
      <c r="G124" s="94">
        <f t="shared" si="80"/>
        <v>2</v>
      </c>
      <c r="H124" s="91"/>
      <c r="I124" s="94">
        <f t="shared" si="81"/>
        <v>0</v>
      </c>
      <c r="J124" s="97">
        <f t="shared" si="72"/>
        <v>70.89197093523546</v>
      </c>
      <c r="K124" s="92">
        <f t="shared" si="82"/>
        <v>0.7230508838898416</v>
      </c>
      <c r="L124" s="92">
        <f t="shared" si="73"/>
        <v>0</v>
      </c>
      <c r="M124" s="92">
        <f t="shared" si="83"/>
        <v>0</v>
      </c>
      <c r="N124" s="92">
        <f t="shared" si="74"/>
        <v>0.7042005099932785</v>
      </c>
      <c r="O124" s="92">
        <f t="shared" si="75"/>
        <v>243.73404309206106</v>
      </c>
      <c r="P124" s="91"/>
      <c r="Q124" s="92">
        <f t="shared" si="76"/>
        <v>0</v>
      </c>
      <c r="R124" s="92">
        <f t="shared" si="84"/>
        <v>0</v>
      </c>
      <c r="S124" s="92">
        <f t="shared" si="77"/>
        <v>0</v>
      </c>
      <c r="T124" s="92">
        <f t="shared" si="85"/>
        <v>0</v>
      </c>
    </row>
    <row r="125" spans="1:20" ht="21.75" customHeight="1">
      <c r="A125" s="71">
        <v>22</v>
      </c>
      <c r="B125" s="86">
        <f>B124+5270</f>
        <v>104824</v>
      </c>
      <c r="C125" s="92">
        <f t="shared" si="78"/>
        <v>357.76109215017067</v>
      </c>
      <c r="D125" s="92">
        <f t="shared" si="71"/>
        <v>1.4558888888888881</v>
      </c>
      <c r="E125" s="92">
        <f t="shared" si="79"/>
        <v>23.075838888888875</v>
      </c>
      <c r="F125" s="91">
        <v>50</v>
      </c>
      <c r="G125" s="94">
        <f t="shared" si="80"/>
        <v>2</v>
      </c>
      <c r="H125" s="91"/>
      <c r="I125" s="94">
        <f t="shared" si="81"/>
        <v>0</v>
      </c>
      <c r="J125" s="97">
        <f t="shared" si="72"/>
        <v>78.34970473431021</v>
      </c>
      <c r="K125" s="92">
        <f t="shared" si="82"/>
        <v>0.7991148012009062</v>
      </c>
      <c r="L125" s="92">
        <f t="shared" si="73"/>
        <v>0</v>
      </c>
      <c r="M125" s="92">
        <f t="shared" si="83"/>
        <v>0</v>
      </c>
      <c r="N125" s="92">
        <f t="shared" si="74"/>
        <v>0.7414781350778014</v>
      </c>
      <c r="O125" s="92">
        <f t="shared" si="75"/>
        <v>270.2216988884403</v>
      </c>
      <c r="P125" s="91"/>
      <c r="Q125" s="92">
        <f t="shared" si="76"/>
        <v>0</v>
      </c>
      <c r="R125" s="92">
        <f t="shared" si="84"/>
        <v>0</v>
      </c>
      <c r="S125" s="92">
        <f t="shared" si="77"/>
        <v>0</v>
      </c>
      <c r="T125" s="92">
        <f t="shared" si="85"/>
        <v>0</v>
      </c>
    </row>
    <row r="126" spans="1:20" ht="21.75" customHeight="1">
      <c r="A126" s="71">
        <v>23</v>
      </c>
      <c r="B126" s="86">
        <f>B125+5820</f>
        <v>110644</v>
      </c>
      <c r="C126" s="92">
        <f t="shared" si="78"/>
        <v>377.6245733788396</v>
      </c>
      <c r="D126" s="92">
        <f t="shared" si="71"/>
        <v>1.5367222222222212</v>
      </c>
      <c r="E126" s="92">
        <f t="shared" si="79"/>
        <v>24.357047222222207</v>
      </c>
      <c r="F126" s="91">
        <v>50</v>
      </c>
      <c r="G126" s="94">
        <f t="shared" si="80"/>
        <v>2</v>
      </c>
      <c r="H126" s="91"/>
      <c r="I126" s="94">
        <f t="shared" si="81"/>
        <v>0</v>
      </c>
      <c r="J126" s="97">
        <f t="shared" si="72"/>
        <v>87.01605252337724</v>
      </c>
      <c r="K126" s="92">
        <f t="shared" si="82"/>
        <v>0.8875057761775548</v>
      </c>
      <c r="L126" s="92">
        <f t="shared" si="73"/>
        <v>0</v>
      </c>
      <c r="M126" s="92">
        <f t="shared" si="83"/>
        <v>0</v>
      </c>
      <c r="N126" s="92">
        <f t="shared" si="74"/>
        <v>0.7826462143931565</v>
      </c>
      <c r="O126" s="92">
        <f t="shared" si="75"/>
        <v>301.06100012828585</v>
      </c>
      <c r="P126" s="91"/>
      <c r="Q126" s="92">
        <f t="shared" si="76"/>
        <v>0</v>
      </c>
      <c r="R126" s="92">
        <f t="shared" si="84"/>
        <v>0</v>
      </c>
      <c r="S126" s="92">
        <f t="shared" si="77"/>
        <v>0</v>
      </c>
      <c r="T126" s="92">
        <f t="shared" si="85"/>
        <v>0</v>
      </c>
    </row>
    <row r="127" spans="1:20" ht="21.75" customHeight="1">
      <c r="A127" s="71">
        <v>24</v>
      </c>
      <c r="B127" s="86">
        <f>B126+1770</f>
        <v>112414</v>
      </c>
      <c r="C127" s="92">
        <f t="shared" si="78"/>
        <v>383.6655290102389</v>
      </c>
      <c r="D127" s="92">
        <f t="shared" si="71"/>
        <v>1.5613055555555548</v>
      </c>
      <c r="E127" s="92">
        <f t="shared" si="79"/>
        <v>24.746693055555543</v>
      </c>
      <c r="F127" s="91">
        <v>50</v>
      </c>
      <c r="G127" s="94">
        <f t="shared" si="80"/>
        <v>2</v>
      </c>
      <c r="H127" s="91"/>
      <c r="I127" s="94">
        <f t="shared" si="81"/>
        <v>0</v>
      </c>
      <c r="J127" s="97">
        <f t="shared" si="72"/>
        <v>89.7412482776892</v>
      </c>
      <c r="K127" s="92">
        <f t="shared" si="82"/>
        <v>0.9153009576760102</v>
      </c>
      <c r="L127" s="92">
        <f t="shared" si="73"/>
        <v>0</v>
      </c>
      <c r="M127" s="92">
        <f t="shared" si="83"/>
        <v>0</v>
      </c>
      <c r="N127" s="92">
        <f t="shared" si="74"/>
        <v>0.7951664034632905</v>
      </c>
      <c r="O127" s="92">
        <f t="shared" si="75"/>
        <v>310.77034292019994</v>
      </c>
      <c r="P127" s="91"/>
      <c r="Q127" s="92">
        <f t="shared" si="76"/>
        <v>0</v>
      </c>
      <c r="R127" s="92">
        <f t="shared" si="84"/>
        <v>0</v>
      </c>
      <c r="S127" s="92">
        <f t="shared" si="77"/>
        <v>0</v>
      </c>
      <c r="T127" s="92">
        <f t="shared" si="85"/>
        <v>0</v>
      </c>
    </row>
    <row r="128" spans="1:20" ht="21.75" customHeight="1">
      <c r="A128" s="71">
        <v>25</v>
      </c>
      <c r="B128" s="86">
        <f>B127+1770</f>
        <v>114184</v>
      </c>
      <c r="C128" s="92">
        <f t="shared" si="78"/>
        <v>389.7064846416382</v>
      </c>
      <c r="D128" s="92">
        <f t="shared" si="71"/>
        <v>1.585888888888888</v>
      </c>
      <c r="E128" s="92">
        <f t="shared" si="79"/>
        <v>25.136338888888876</v>
      </c>
      <c r="F128" s="91">
        <v>50</v>
      </c>
      <c r="G128" s="94">
        <f t="shared" si="80"/>
        <v>2</v>
      </c>
      <c r="H128" s="91"/>
      <c r="I128" s="94">
        <f t="shared" si="81"/>
        <v>0</v>
      </c>
      <c r="J128" s="97">
        <f t="shared" si="72"/>
        <v>92.5082097641307</v>
      </c>
      <c r="K128" s="92">
        <f t="shared" si="82"/>
        <v>0.9435221218229122</v>
      </c>
      <c r="L128" s="92">
        <f t="shared" si="73"/>
        <v>0</v>
      </c>
      <c r="M128" s="92">
        <f t="shared" si="83"/>
        <v>0</v>
      </c>
      <c r="N128" s="92">
        <f t="shared" si="74"/>
        <v>0.8076865925334242</v>
      </c>
      <c r="O128" s="92">
        <f t="shared" si="75"/>
        <v>320.6337760091817</v>
      </c>
      <c r="P128" s="91"/>
      <c r="Q128" s="92">
        <f t="shared" si="76"/>
        <v>0</v>
      </c>
      <c r="R128" s="92">
        <f t="shared" si="84"/>
        <v>0</v>
      </c>
      <c r="S128" s="92">
        <f t="shared" si="77"/>
        <v>0</v>
      </c>
      <c r="T128" s="92">
        <f t="shared" si="85"/>
        <v>0</v>
      </c>
    </row>
    <row r="129" spans="1:20" ht="21.75" customHeight="1">
      <c r="A129" s="71">
        <v>26</v>
      </c>
      <c r="B129" s="86">
        <f>B128+4340</f>
        <v>118524</v>
      </c>
      <c r="C129" s="92">
        <f t="shared" si="78"/>
        <v>404.518771331058</v>
      </c>
      <c r="D129" s="92">
        <f t="shared" si="71"/>
        <v>1.646166666666666</v>
      </c>
      <c r="E129" s="92">
        <f t="shared" si="79"/>
        <v>26.091741666666653</v>
      </c>
      <c r="F129" s="91">
        <v>50</v>
      </c>
      <c r="G129" s="94">
        <f t="shared" si="80"/>
        <v>2</v>
      </c>
      <c r="H129" s="91"/>
      <c r="I129" s="94">
        <f t="shared" si="81"/>
        <v>0</v>
      </c>
      <c r="J129" s="97">
        <f t="shared" si="72"/>
        <v>99.46948493908828</v>
      </c>
      <c r="K129" s="92">
        <f t="shared" si="82"/>
        <v>1.0145224918486206</v>
      </c>
      <c r="L129" s="92">
        <f t="shared" si="73"/>
        <v>0</v>
      </c>
      <c r="M129" s="92">
        <f t="shared" si="83"/>
        <v>0</v>
      </c>
      <c r="N129" s="92">
        <f t="shared" si="74"/>
        <v>0.8383858131912666</v>
      </c>
      <c r="O129" s="92">
        <f t="shared" si="75"/>
        <v>345.4708143202275</v>
      </c>
      <c r="P129" s="91"/>
      <c r="Q129" s="92">
        <f t="shared" si="76"/>
        <v>0</v>
      </c>
      <c r="R129" s="92">
        <f t="shared" si="84"/>
        <v>0</v>
      </c>
      <c r="S129" s="92">
        <f t="shared" si="77"/>
        <v>0</v>
      </c>
      <c r="T129" s="92">
        <f t="shared" si="85"/>
        <v>0</v>
      </c>
    </row>
    <row r="130" spans="1:20" ht="21.75" customHeight="1">
      <c r="A130" s="71">
        <v>27</v>
      </c>
      <c r="B130" s="86">
        <f>B129+12360</f>
        <v>130884</v>
      </c>
      <c r="C130" s="92">
        <f t="shared" si="78"/>
        <v>446.70307167235495</v>
      </c>
      <c r="D130" s="92">
        <f t="shared" si="71"/>
        <v>1.8178333333333325</v>
      </c>
      <c r="E130" s="92">
        <f t="shared" si="79"/>
        <v>28.81265833333332</v>
      </c>
      <c r="F130" s="91">
        <v>50</v>
      </c>
      <c r="G130" s="94">
        <f t="shared" si="80"/>
        <v>2</v>
      </c>
      <c r="H130" s="91"/>
      <c r="I130" s="94">
        <f t="shared" si="81"/>
        <v>0</v>
      </c>
      <c r="J130" s="97">
        <f t="shared" si="72"/>
        <v>120.67036812760666</v>
      </c>
      <c r="K130" s="92">
        <f t="shared" si="82"/>
        <v>1.2307573789094959</v>
      </c>
      <c r="L130" s="92">
        <f t="shared" si="73"/>
        <v>0</v>
      </c>
      <c r="M130" s="92">
        <f t="shared" si="83"/>
        <v>0</v>
      </c>
      <c r="N130" s="92">
        <f t="shared" si="74"/>
        <v>0.9258149300877944</v>
      </c>
      <c r="O130" s="92">
        <f t="shared" si="75"/>
        <v>421.28100946615933</v>
      </c>
      <c r="P130" s="91"/>
      <c r="Q130" s="92">
        <f t="shared" si="76"/>
        <v>0</v>
      </c>
      <c r="R130" s="92">
        <f t="shared" si="84"/>
        <v>0</v>
      </c>
      <c r="S130" s="92">
        <f t="shared" si="77"/>
        <v>0</v>
      </c>
      <c r="T130" s="92">
        <f t="shared" si="85"/>
        <v>0</v>
      </c>
    </row>
    <row r="131" spans="1:20" ht="21.75" customHeight="1">
      <c r="A131" s="71">
        <v>28</v>
      </c>
      <c r="B131" s="86">
        <f>B130+2170</f>
        <v>133054</v>
      </c>
      <c r="C131" s="92">
        <f t="shared" si="78"/>
        <v>454.10921501706486</v>
      </c>
      <c r="D131" s="92">
        <f t="shared" si="71"/>
        <v>1.8479722222222212</v>
      </c>
      <c r="E131" s="92">
        <f t="shared" si="79"/>
        <v>29.290359722222206</v>
      </c>
      <c r="F131" s="91">
        <v>50</v>
      </c>
      <c r="G131" s="94">
        <f t="shared" si="80"/>
        <v>2</v>
      </c>
      <c r="H131" s="91"/>
      <c r="I131" s="94">
        <f t="shared" si="81"/>
        <v>0</v>
      </c>
      <c r="J131" s="97">
        <f t="shared" si="72"/>
        <v>124.60265285966014</v>
      </c>
      <c r="K131" s="92">
        <f t="shared" si="82"/>
        <v>1.270864063964356</v>
      </c>
      <c r="L131" s="92">
        <f t="shared" si="73"/>
        <v>0</v>
      </c>
      <c r="M131" s="92">
        <f t="shared" si="83"/>
        <v>0</v>
      </c>
      <c r="N131" s="92">
        <f t="shared" si="74"/>
        <v>0.9411645404167154</v>
      </c>
      <c r="O131" s="92">
        <f t="shared" si="75"/>
        <v>435.36612518573213</v>
      </c>
      <c r="P131" s="91"/>
      <c r="Q131" s="92">
        <f t="shared" si="76"/>
        <v>0</v>
      </c>
      <c r="R131" s="92">
        <f t="shared" si="84"/>
        <v>0</v>
      </c>
      <c r="S131" s="92">
        <f t="shared" si="77"/>
        <v>0</v>
      </c>
      <c r="T131" s="92">
        <f t="shared" si="85"/>
        <v>0</v>
      </c>
    </row>
    <row r="132" spans="1:20" ht="21.75" customHeight="1">
      <c r="A132" s="71">
        <v>29</v>
      </c>
      <c r="B132" s="86">
        <f>B131+5760</f>
        <v>138814</v>
      </c>
      <c r="C132" s="92">
        <f t="shared" si="78"/>
        <v>473.7679180887372</v>
      </c>
      <c r="D132" s="92">
        <f t="shared" si="71"/>
        <v>1.927972222222221</v>
      </c>
      <c r="E132" s="92">
        <f t="shared" si="79"/>
        <v>30.558359722222203</v>
      </c>
      <c r="F132" s="91">
        <v>70</v>
      </c>
      <c r="G132" s="94">
        <f t="shared" si="80"/>
        <v>2.8</v>
      </c>
      <c r="H132" s="91"/>
      <c r="I132" s="94">
        <f t="shared" si="81"/>
        <v>0</v>
      </c>
      <c r="J132" s="97">
        <f t="shared" si="72"/>
        <v>24.131961331417408</v>
      </c>
      <c r="K132" s="92">
        <f t="shared" si="82"/>
        <v>0.2461299317889938</v>
      </c>
      <c r="L132" s="92">
        <f t="shared" si="73"/>
        <v>0</v>
      </c>
      <c r="M132" s="92">
        <f t="shared" si="83"/>
        <v>0</v>
      </c>
      <c r="N132" s="92">
        <f t="shared" si="74"/>
        <v>0.5009735747669656</v>
      </c>
      <c r="O132" s="92">
        <f t="shared" si="75"/>
        <v>123.3539778651705</v>
      </c>
      <c r="P132" s="91"/>
      <c r="Q132" s="92">
        <f t="shared" si="76"/>
        <v>0</v>
      </c>
      <c r="R132" s="92">
        <f t="shared" si="84"/>
        <v>0</v>
      </c>
      <c r="S132" s="92">
        <f t="shared" si="77"/>
        <v>0</v>
      </c>
      <c r="T132" s="92">
        <f t="shared" si="85"/>
        <v>0</v>
      </c>
    </row>
    <row r="133" spans="1:20" ht="21.75" customHeight="1">
      <c r="A133" s="71">
        <v>30</v>
      </c>
      <c r="B133" s="86">
        <f>B132+2170</f>
        <v>140984</v>
      </c>
      <c r="C133" s="92">
        <f t="shared" si="78"/>
        <v>481.1740614334471</v>
      </c>
      <c r="D133" s="92">
        <f t="shared" si="71"/>
        <v>1.95811111111111</v>
      </c>
      <c r="E133" s="92">
        <f t="shared" si="79"/>
        <v>31.036061111111092</v>
      </c>
      <c r="F133" s="91">
        <v>70</v>
      </c>
      <c r="G133" s="94">
        <f t="shared" si="80"/>
        <v>2.8</v>
      </c>
      <c r="H133" s="91"/>
      <c r="I133" s="94">
        <f t="shared" si="81"/>
        <v>0</v>
      </c>
      <c r="J133" s="97">
        <f t="shared" si="72"/>
        <v>24.86191637546215</v>
      </c>
      <c r="K133" s="92">
        <f t="shared" si="82"/>
        <v>0.2535749870305609</v>
      </c>
      <c r="L133" s="92">
        <f t="shared" si="73"/>
        <v>0</v>
      </c>
      <c r="M133" s="92">
        <f t="shared" si="83"/>
        <v>0</v>
      </c>
      <c r="N133" s="92">
        <f t="shared" si="74"/>
        <v>0.5088050086082518</v>
      </c>
      <c r="O133" s="92">
        <f t="shared" si="75"/>
        <v>127.24076682975046</v>
      </c>
      <c r="P133" s="91"/>
      <c r="Q133" s="92">
        <f t="shared" si="76"/>
        <v>0</v>
      </c>
      <c r="R133" s="92">
        <f t="shared" si="84"/>
        <v>0</v>
      </c>
      <c r="S133" s="92">
        <f t="shared" si="77"/>
        <v>0</v>
      </c>
      <c r="T133" s="92">
        <f t="shared" si="85"/>
        <v>0</v>
      </c>
    </row>
    <row r="134" spans="1:20" ht="21.75" customHeight="1">
      <c r="A134" s="71">
        <v>31</v>
      </c>
      <c r="B134" s="86">
        <f>B133+4700</f>
        <v>145684</v>
      </c>
      <c r="C134" s="92">
        <f t="shared" si="78"/>
        <v>497.2150170648464</v>
      </c>
      <c r="D134" s="92">
        <f t="shared" si="71"/>
        <v>2.023388888888888</v>
      </c>
      <c r="E134" s="92">
        <f t="shared" si="79"/>
        <v>32.070713888888875</v>
      </c>
      <c r="F134" s="91">
        <v>70</v>
      </c>
      <c r="G134" s="94">
        <f t="shared" si="80"/>
        <v>2.8</v>
      </c>
      <c r="H134" s="91"/>
      <c r="I134" s="94">
        <f t="shared" si="81"/>
        <v>0</v>
      </c>
      <c r="J134" s="97">
        <f t="shared" si="72"/>
        <v>26.479771496418177</v>
      </c>
      <c r="K134" s="92">
        <f t="shared" si="82"/>
        <v>0.27007603164507227</v>
      </c>
      <c r="L134" s="92">
        <f t="shared" si="73"/>
        <v>0</v>
      </c>
      <c r="M134" s="92">
        <f t="shared" si="83"/>
        <v>0</v>
      </c>
      <c r="N134" s="92">
        <f t="shared" si="74"/>
        <v>0.5257671003382268</v>
      </c>
      <c r="O134" s="92">
        <f t="shared" si="75"/>
        <v>135.86585802674995</v>
      </c>
      <c r="P134" s="91"/>
      <c r="Q134" s="92">
        <f t="shared" si="76"/>
        <v>0</v>
      </c>
      <c r="R134" s="92">
        <f t="shared" si="84"/>
        <v>0</v>
      </c>
      <c r="S134" s="92">
        <f t="shared" si="77"/>
        <v>0</v>
      </c>
      <c r="T134" s="92">
        <f t="shared" si="85"/>
        <v>0</v>
      </c>
    </row>
    <row r="135" spans="1:20" ht="21.75" customHeight="1">
      <c r="A135" s="71">
        <v>32</v>
      </c>
      <c r="B135" s="86">
        <f>B134+4700</f>
        <v>150384</v>
      </c>
      <c r="C135" s="92">
        <f t="shared" si="78"/>
        <v>513.2559726962457</v>
      </c>
      <c r="D135" s="92">
        <f t="shared" si="71"/>
        <v>2.088666666666666</v>
      </c>
      <c r="E135" s="92">
        <f t="shared" si="79"/>
        <v>33.105366666666654</v>
      </c>
      <c r="F135" s="91">
        <v>70</v>
      </c>
      <c r="G135" s="94">
        <f t="shared" si="80"/>
        <v>2.8</v>
      </c>
      <c r="H135" s="91"/>
      <c r="I135" s="94">
        <f t="shared" si="81"/>
        <v>0</v>
      </c>
      <c r="J135" s="97">
        <f t="shared" si="72"/>
        <v>28.1480353208745</v>
      </c>
      <c r="K135" s="92">
        <f t="shared" si="82"/>
        <v>0.2870912114591103</v>
      </c>
      <c r="L135" s="92">
        <f t="shared" si="73"/>
        <v>0</v>
      </c>
      <c r="M135" s="92">
        <f t="shared" si="83"/>
        <v>0</v>
      </c>
      <c r="N135" s="92">
        <f t="shared" si="74"/>
        <v>0.5427291920682017</v>
      </c>
      <c r="O135" s="92">
        <f t="shared" si="75"/>
        <v>144.77377066615594</v>
      </c>
      <c r="P135" s="91"/>
      <c r="Q135" s="92">
        <f t="shared" si="76"/>
        <v>0</v>
      </c>
      <c r="R135" s="92">
        <f t="shared" si="84"/>
        <v>0</v>
      </c>
      <c r="S135" s="92">
        <f t="shared" si="77"/>
        <v>0</v>
      </c>
      <c r="T135" s="92">
        <f t="shared" si="85"/>
        <v>0</v>
      </c>
    </row>
    <row r="136" spans="1:20" ht="21.75" customHeight="1">
      <c r="A136" s="71">
        <v>33</v>
      </c>
      <c r="B136" s="86">
        <f>B135+868</f>
        <v>151252</v>
      </c>
      <c r="C136" s="92">
        <f t="shared" si="78"/>
        <v>516.2184300341297</v>
      </c>
      <c r="D136" s="92">
        <f t="shared" si="71"/>
        <v>2.1007222222222213</v>
      </c>
      <c r="E136" s="92">
        <f t="shared" si="79"/>
        <v>33.296447222222206</v>
      </c>
      <c r="F136" s="91">
        <v>70</v>
      </c>
      <c r="G136" s="94">
        <f t="shared" si="80"/>
        <v>2.8</v>
      </c>
      <c r="H136" s="91"/>
      <c r="I136" s="94">
        <f t="shared" si="81"/>
        <v>0</v>
      </c>
      <c r="J136" s="97">
        <f t="shared" si="72"/>
        <v>28.461645458918596</v>
      </c>
      <c r="K136" s="92">
        <f t="shared" si="82"/>
        <v>0.2902898259780487</v>
      </c>
      <c r="L136" s="92">
        <f t="shared" si="73"/>
        <v>0</v>
      </c>
      <c r="M136" s="92">
        <f t="shared" si="83"/>
        <v>0</v>
      </c>
      <c r="N136" s="92">
        <f t="shared" si="74"/>
        <v>0.5458617656047162</v>
      </c>
      <c r="O136" s="92">
        <f t="shared" si="75"/>
        <v>146.44983050378175</v>
      </c>
      <c r="P136" s="91"/>
      <c r="Q136" s="92">
        <f t="shared" si="76"/>
        <v>0</v>
      </c>
      <c r="R136" s="92">
        <f t="shared" si="84"/>
        <v>0</v>
      </c>
      <c r="S136" s="92">
        <f t="shared" si="77"/>
        <v>0</v>
      </c>
      <c r="T136" s="92">
        <f t="shared" si="85"/>
        <v>0</v>
      </c>
    </row>
    <row r="137" spans="1:20" ht="21.75" customHeight="1">
      <c r="A137" s="71">
        <v>34</v>
      </c>
      <c r="B137" s="86">
        <f>B136+868</f>
        <v>152120</v>
      </c>
      <c r="C137" s="92">
        <f t="shared" si="78"/>
        <v>519.1808873720137</v>
      </c>
      <c r="D137" s="92">
        <f t="shared" si="71"/>
        <v>2.1127777777777763</v>
      </c>
      <c r="E137" s="92">
        <f t="shared" si="79"/>
        <v>33.48752777777776</v>
      </c>
      <c r="F137" s="91">
        <v>70</v>
      </c>
      <c r="G137" s="94">
        <f t="shared" si="80"/>
        <v>2.8</v>
      </c>
      <c r="H137" s="91"/>
      <c r="I137" s="94">
        <f t="shared" si="81"/>
        <v>0</v>
      </c>
      <c r="J137" s="97">
        <f t="shared" si="72"/>
        <v>28.77697456456227</v>
      </c>
      <c r="K137" s="92">
        <f t="shared" si="82"/>
        <v>0.29350597282153457</v>
      </c>
      <c r="L137" s="92">
        <f t="shared" si="73"/>
        <v>0</v>
      </c>
      <c r="M137" s="92">
        <f t="shared" si="83"/>
        <v>0</v>
      </c>
      <c r="N137" s="92">
        <f t="shared" si="74"/>
        <v>0.5489943391412306</v>
      </c>
      <c r="O137" s="92">
        <f t="shared" si="75"/>
        <v>148.13553653708078</v>
      </c>
      <c r="P137" s="91"/>
      <c r="Q137" s="92">
        <f t="shared" si="76"/>
        <v>0</v>
      </c>
      <c r="R137" s="92">
        <f t="shared" si="84"/>
        <v>0</v>
      </c>
      <c r="S137" s="92">
        <f t="shared" si="77"/>
        <v>0</v>
      </c>
      <c r="T137" s="92">
        <f t="shared" si="85"/>
        <v>0</v>
      </c>
    </row>
    <row r="138" spans="1:20" ht="21.75" customHeight="1">
      <c r="A138" s="71">
        <v>35</v>
      </c>
      <c r="B138" s="86">
        <f>B137+19500</f>
        <v>171620</v>
      </c>
      <c r="C138" s="92">
        <f t="shared" si="78"/>
        <v>585.7337883959044</v>
      </c>
      <c r="D138" s="92">
        <f t="shared" si="71"/>
        <v>2.3836111111111102</v>
      </c>
      <c r="E138" s="92">
        <f t="shared" si="79"/>
        <v>37.780236111111094</v>
      </c>
      <c r="F138" s="91">
        <v>70</v>
      </c>
      <c r="G138" s="94">
        <f t="shared" si="80"/>
        <v>2.8</v>
      </c>
      <c r="H138" s="91"/>
      <c r="I138" s="94">
        <f t="shared" si="81"/>
        <v>0</v>
      </c>
      <c r="J138" s="97">
        <f t="shared" si="72"/>
        <v>36.31397618504436</v>
      </c>
      <c r="K138" s="92">
        <f t="shared" si="82"/>
        <v>0.37037836911232686</v>
      </c>
      <c r="L138" s="92">
        <f t="shared" si="73"/>
        <v>0</v>
      </c>
      <c r="M138" s="92">
        <f t="shared" si="83"/>
        <v>0</v>
      </c>
      <c r="N138" s="92">
        <f t="shared" si="74"/>
        <v>0.6193689750421907</v>
      </c>
      <c r="O138" s="92">
        <f t="shared" si="75"/>
        <v>188.548211240826</v>
      </c>
      <c r="P138" s="91"/>
      <c r="Q138" s="92">
        <f t="shared" si="76"/>
        <v>0</v>
      </c>
      <c r="R138" s="92">
        <f t="shared" si="84"/>
        <v>0</v>
      </c>
      <c r="S138" s="92">
        <f t="shared" si="77"/>
        <v>0</v>
      </c>
      <c r="T138" s="92">
        <f t="shared" si="85"/>
        <v>0</v>
      </c>
    </row>
    <row r="139" spans="1:20" ht="21.75" customHeight="1">
      <c r="A139" s="71" t="s">
        <v>143</v>
      </c>
      <c r="B139" s="86">
        <f>B138+4700</f>
        <v>176320</v>
      </c>
      <c r="C139" s="92">
        <f t="shared" si="78"/>
        <v>601.7747440273038</v>
      </c>
      <c r="D139" s="92">
        <f>B139*0.83/$F$5/3600</f>
        <v>2.448888888888888</v>
      </c>
      <c r="E139" s="92">
        <f t="shared" si="79"/>
        <v>38.81488888888887</v>
      </c>
      <c r="F139" s="91">
        <v>70</v>
      </c>
      <c r="G139" s="94">
        <f t="shared" si="80"/>
        <v>2.8</v>
      </c>
      <c r="H139" s="91"/>
      <c r="I139" s="94">
        <f t="shared" si="81"/>
        <v>0</v>
      </c>
      <c r="J139" s="97">
        <f>6.9938*10^-12*(0.2/F139+0.0904836*F139/(0.86*B139/25))^0.25*(0.86*B139/25)^2/(F139/1000)^5</f>
        <v>38.2602846953688</v>
      </c>
      <c r="K139" s="92">
        <f t="shared" si="82"/>
        <v>0.39022941952250734</v>
      </c>
      <c r="L139" s="92">
        <f>H139*J139</f>
        <v>0</v>
      </c>
      <c r="M139" s="92">
        <f t="shared" si="83"/>
        <v>0</v>
      </c>
      <c r="N139" s="92">
        <f>D139*4000/(3.1415926*(F139^2))</f>
        <v>0.6363310667721654</v>
      </c>
      <c r="O139" s="92">
        <f>N139^2*983/2</f>
        <v>199.01681684411614</v>
      </c>
      <c r="P139" s="91"/>
      <c r="Q139" s="92">
        <f>O139*P139</f>
        <v>0</v>
      </c>
      <c r="R139" s="92">
        <f t="shared" si="84"/>
        <v>0</v>
      </c>
      <c r="S139" s="92">
        <f>L139+Q139</f>
        <v>0</v>
      </c>
      <c r="T139" s="92">
        <f t="shared" si="85"/>
        <v>0</v>
      </c>
    </row>
    <row r="140" spans="1:20" s="103" customFormat="1" ht="21.75" customHeight="1">
      <c r="A140" s="99"/>
      <c r="B140" s="104"/>
      <c r="C140" s="100"/>
      <c r="D140" s="100"/>
      <c r="E140" s="100"/>
      <c r="F140" s="100"/>
      <c r="G140" s="101"/>
      <c r="H140" s="100"/>
      <c r="I140" s="101"/>
      <c r="J140" s="102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</row>
    <row r="141" spans="1:21" ht="21.75" customHeight="1">
      <c r="A141" s="71">
        <v>36</v>
      </c>
      <c r="B141" s="86">
        <v>6500</v>
      </c>
      <c r="C141" s="92">
        <f t="shared" si="78"/>
        <v>22.18430034129693</v>
      </c>
      <c r="D141" s="92">
        <f t="shared" si="71"/>
        <v>0.09027777777777773</v>
      </c>
      <c r="E141" s="92">
        <f t="shared" si="79"/>
        <v>1.430902777777777</v>
      </c>
      <c r="F141" s="91">
        <v>20</v>
      </c>
      <c r="G141" s="94">
        <f t="shared" si="80"/>
        <v>0.8</v>
      </c>
      <c r="H141" s="91"/>
      <c r="I141" s="94">
        <f t="shared" si="81"/>
        <v>0</v>
      </c>
      <c r="J141" s="97">
        <f t="shared" si="72"/>
        <v>40.07620103311379</v>
      </c>
      <c r="K141" s="92">
        <f t="shared" si="82"/>
        <v>0.40875055662385873</v>
      </c>
      <c r="L141" s="92">
        <f t="shared" si="73"/>
        <v>0</v>
      </c>
      <c r="M141" s="92">
        <f t="shared" si="83"/>
        <v>0</v>
      </c>
      <c r="N141" s="92">
        <f t="shared" si="74"/>
        <v>0.2873630965955857</v>
      </c>
      <c r="O141" s="92">
        <f t="shared" si="75"/>
        <v>40.58686547357942</v>
      </c>
      <c r="P141" s="91"/>
      <c r="Q141" s="92">
        <f t="shared" si="76"/>
        <v>0</v>
      </c>
      <c r="R141" s="92">
        <f t="shared" si="84"/>
        <v>0</v>
      </c>
      <c r="S141" s="92">
        <f t="shared" si="77"/>
        <v>0</v>
      </c>
      <c r="T141" s="92">
        <f t="shared" si="85"/>
        <v>0</v>
      </c>
      <c r="U141" s="85" t="s">
        <v>142</v>
      </c>
    </row>
    <row r="142" spans="1:20" ht="21.75" customHeight="1">
      <c r="A142" s="71">
        <v>37</v>
      </c>
      <c r="B142" s="86">
        <f>B141+6500</f>
        <v>13000</v>
      </c>
      <c r="C142" s="92">
        <f t="shared" si="78"/>
        <v>44.36860068259386</v>
      </c>
      <c r="D142" s="92">
        <f t="shared" si="71"/>
        <v>0.18055555555555547</v>
      </c>
      <c r="E142" s="92">
        <f t="shared" si="79"/>
        <v>2.861805555555554</v>
      </c>
      <c r="F142" s="91">
        <v>25</v>
      </c>
      <c r="G142" s="94">
        <f t="shared" si="80"/>
        <v>1</v>
      </c>
      <c r="H142" s="91"/>
      <c r="I142" s="94">
        <f t="shared" si="81"/>
        <v>0</v>
      </c>
      <c r="J142" s="97">
        <f t="shared" si="72"/>
        <v>48.41598309601848</v>
      </c>
      <c r="K142" s="92">
        <f t="shared" si="82"/>
        <v>0.4938107787122073</v>
      </c>
      <c r="L142" s="92">
        <f t="shared" si="73"/>
        <v>0</v>
      </c>
      <c r="M142" s="92">
        <f t="shared" si="83"/>
        <v>0</v>
      </c>
      <c r="N142" s="92">
        <f t="shared" si="74"/>
        <v>0.36782476364234973</v>
      </c>
      <c r="O142" s="92">
        <f t="shared" si="75"/>
        <v>66.49752039191254</v>
      </c>
      <c r="P142" s="91"/>
      <c r="Q142" s="92">
        <f t="shared" si="76"/>
        <v>0</v>
      </c>
      <c r="R142" s="92">
        <f t="shared" si="84"/>
        <v>0</v>
      </c>
      <c r="S142" s="92">
        <f t="shared" si="77"/>
        <v>0</v>
      </c>
      <c r="T142" s="92">
        <f t="shared" si="85"/>
        <v>0</v>
      </c>
    </row>
    <row r="143" spans="1:20" ht="21.75" customHeight="1">
      <c r="A143" s="71">
        <v>38</v>
      </c>
      <c r="B143" s="86">
        <f>B142+6500</f>
        <v>19500</v>
      </c>
      <c r="C143" s="92">
        <f t="shared" si="78"/>
        <v>66.55290102389078</v>
      </c>
      <c r="D143" s="92">
        <f t="shared" si="71"/>
        <v>0.2708333333333332</v>
      </c>
      <c r="E143" s="92">
        <f t="shared" si="79"/>
        <v>4.292708333333331</v>
      </c>
      <c r="F143" s="91">
        <v>32</v>
      </c>
      <c r="G143" s="94">
        <f t="shared" si="80"/>
        <v>1.28</v>
      </c>
      <c r="H143" s="91"/>
      <c r="I143" s="94">
        <f t="shared" si="81"/>
        <v>0</v>
      </c>
      <c r="J143" s="97">
        <f t="shared" si="72"/>
        <v>30.069880961921488</v>
      </c>
      <c r="K143" s="92">
        <f t="shared" si="82"/>
        <v>0.30669275689686304</v>
      </c>
      <c r="L143" s="92">
        <f t="shared" si="73"/>
        <v>0</v>
      </c>
      <c r="M143" s="92">
        <f t="shared" si="83"/>
        <v>0</v>
      </c>
      <c r="N143" s="92">
        <f t="shared" si="74"/>
        <v>0.336753628822952</v>
      </c>
      <c r="O143" s="92">
        <f t="shared" si="75"/>
        <v>55.73757770724714</v>
      </c>
      <c r="P143" s="91"/>
      <c r="Q143" s="92">
        <f t="shared" si="76"/>
        <v>0</v>
      </c>
      <c r="R143" s="92">
        <f t="shared" si="84"/>
        <v>0</v>
      </c>
      <c r="S143" s="92">
        <f t="shared" si="77"/>
        <v>0</v>
      </c>
      <c r="T143" s="92">
        <f t="shared" si="85"/>
        <v>0</v>
      </c>
    </row>
    <row r="144" spans="1:20" ht="21.75" customHeight="1">
      <c r="A144" s="71">
        <v>39</v>
      </c>
      <c r="B144" s="86">
        <f>B143+4700</f>
        <v>24200</v>
      </c>
      <c r="C144" s="92">
        <f t="shared" si="78"/>
        <v>82.5938566552901</v>
      </c>
      <c r="D144" s="92">
        <f t="shared" si="71"/>
        <v>0.3361111111111109</v>
      </c>
      <c r="E144" s="92">
        <f t="shared" si="79"/>
        <v>5.327361111111108</v>
      </c>
      <c r="F144" s="91">
        <v>32</v>
      </c>
      <c r="G144" s="94">
        <f t="shared" si="80"/>
        <v>1.28</v>
      </c>
      <c r="H144" s="91"/>
      <c r="I144" s="94">
        <f t="shared" si="81"/>
        <v>0</v>
      </c>
      <c r="J144" s="97">
        <f t="shared" si="72"/>
        <v>45.3647264323808</v>
      </c>
      <c r="K144" s="92">
        <f t="shared" si="82"/>
        <v>0.4626899931209375</v>
      </c>
      <c r="L144" s="92">
        <f t="shared" si="73"/>
        <v>0</v>
      </c>
      <c r="M144" s="92">
        <f t="shared" si="83"/>
        <v>0</v>
      </c>
      <c r="N144" s="92">
        <f t="shared" si="74"/>
        <v>0.4179198880777148</v>
      </c>
      <c r="O144" s="92">
        <f t="shared" si="75"/>
        <v>85.84393164621227</v>
      </c>
      <c r="P144" s="91"/>
      <c r="Q144" s="92">
        <f t="shared" si="76"/>
        <v>0</v>
      </c>
      <c r="R144" s="92">
        <f t="shared" si="84"/>
        <v>0</v>
      </c>
      <c r="S144" s="92">
        <f t="shared" si="77"/>
        <v>0</v>
      </c>
      <c r="T144" s="92">
        <f t="shared" si="85"/>
        <v>0</v>
      </c>
    </row>
    <row r="145" spans="1:20" ht="21.75" customHeight="1">
      <c r="A145" s="71">
        <v>40</v>
      </c>
      <c r="B145" s="86">
        <f>B144+868</f>
        <v>25068</v>
      </c>
      <c r="C145" s="92">
        <f t="shared" si="78"/>
        <v>85.55631399317406</v>
      </c>
      <c r="D145" s="92">
        <f t="shared" si="71"/>
        <v>0.34816666666666646</v>
      </c>
      <c r="E145" s="92">
        <f t="shared" si="79"/>
        <v>5.518441666666663</v>
      </c>
      <c r="F145" s="91">
        <v>32</v>
      </c>
      <c r="G145" s="94">
        <f t="shared" si="80"/>
        <v>1.28</v>
      </c>
      <c r="H145" s="91"/>
      <c r="I145" s="94">
        <f t="shared" si="81"/>
        <v>0</v>
      </c>
      <c r="J145" s="97">
        <f t="shared" si="72"/>
        <v>48.52599151582815</v>
      </c>
      <c r="K145" s="92">
        <f t="shared" si="82"/>
        <v>0.4949327913199732</v>
      </c>
      <c r="L145" s="92">
        <f t="shared" si="73"/>
        <v>0</v>
      </c>
      <c r="M145" s="92">
        <f t="shared" si="83"/>
        <v>0</v>
      </c>
      <c r="N145" s="92">
        <f t="shared" si="74"/>
        <v>0.43290974191455184</v>
      </c>
      <c r="O145" s="92">
        <f t="shared" si="75"/>
        <v>92.11243014278348</v>
      </c>
      <c r="P145" s="91"/>
      <c r="Q145" s="92">
        <f t="shared" si="76"/>
        <v>0</v>
      </c>
      <c r="R145" s="92">
        <f t="shared" si="84"/>
        <v>0</v>
      </c>
      <c r="S145" s="92">
        <f t="shared" si="77"/>
        <v>0</v>
      </c>
      <c r="T145" s="92">
        <f t="shared" si="85"/>
        <v>0</v>
      </c>
    </row>
    <row r="146" spans="1:20" ht="21.75" customHeight="1">
      <c r="A146" s="71">
        <v>41</v>
      </c>
      <c r="B146" s="86">
        <f>B145+868</f>
        <v>25936</v>
      </c>
      <c r="C146" s="92">
        <f t="shared" si="78"/>
        <v>88.51877133105802</v>
      </c>
      <c r="D146" s="92">
        <f t="shared" si="71"/>
        <v>0.360222222222222</v>
      </c>
      <c r="E146" s="92">
        <f t="shared" si="79"/>
        <v>5.709522222222218</v>
      </c>
      <c r="F146" s="91">
        <v>32</v>
      </c>
      <c r="G146" s="94">
        <f t="shared" si="80"/>
        <v>1.28</v>
      </c>
      <c r="H146" s="91"/>
      <c r="I146" s="94">
        <f t="shared" si="81"/>
        <v>0</v>
      </c>
      <c r="J146" s="97">
        <f t="shared" si="72"/>
        <v>51.79211830722201</v>
      </c>
      <c r="K146" s="92">
        <f t="shared" si="82"/>
        <v>0.528245109093887</v>
      </c>
      <c r="L146" s="92">
        <f t="shared" si="73"/>
        <v>0</v>
      </c>
      <c r="M146" s="92">
        <f t="shared" si="83"/>
        <v>0</v>
      </c>
      <c r="N146" s="92">
        <f t="shared" si="74"/>
        <v>0.4478995957513889</v>
      </c>
      <c r="O146" s="92">
        <f t="shared" si="75"/>
        <v>98.6018045301976</v>
      </c>
      <c r="P146" s="91"/>
      <c r="Q146" s="92">
        <f t="shared" si="76"/>
        <v>0</v>
      </c>
      <c r="R146" s="92">
        <f t="shared" si="84"/>
        <v>0</v>
      </c>
      <c r="S146" s="92">
        <f t="shared" si="77"/>
        <v>0</v>
      </c>
      <c r="T146" s="92">
        <f t="shared" si="85"/>
        <v>0</v>
      </c>
    </row>
    <row r="147" spans="1:20" ht="21.75" customHeight="1">
      <c r="A147" s="71">
        <v>42</v>
      </c>
      <c r="B147" s="86">
        <f>B146+4700</f>
        <v>30636</v>
      </c>
      <c r="C147" s="92">
        <f t="shared" si="78"/>
        <v>104.55972696245733</v>
      </c>
      <c r="D147" s="92">
        <f t="shared" si="71"/>
        <v>0.4254999999999997</v>
      </c>
      <c r="E147" s="92">
        <f t="shared" si="79"/>
        <v>6.744174999999995</v>
      </c>
      <c r="F147" s="91">
        <v>32</v>
      </c>
      <c r="G147" s="94">
        <f t="shared" si="80"/>
        <v>1.28</v>
      </c>
      <c r="H147" s="91"/>
      <c r="I147" s="94">
        <f t="shared" si="81"/>
        <v>0</v>
      </c>
      <c r="J147" s="97">
        <f t="shared" si="72"/>
        <v>71.2974750669334</v>
      </c>
      <c r="K147" s="92">
        <f t="shared" si="82"/>
        <v>0.7271867559353944</v>
      </c>
      <c r="L147" s="92">
        <f t="shared" si="73"/>
        <v>0</v>
      </c>
      <c r="M147" s="92">
        <f t="shared" si="83"/>
        <v>0</v>
      </c>
      <c r="N147" s="92">
        <f t="shared" si="74"/>
        <v>0.5290658550061517</v>
      </c>
      <c r="O147" s="92">
        <f t="shared" si="75"/>
        <v>137.57609869576132</v>
      </c>
      <c r="P147" s="91"/>
      <c r="Q147" s="92">
        <f t="shared" si="76"/>
        <v>0</v>
      </c>
      <c r="R147" s="92">
        <f t="shared" si="84"/>
        <v>0</v>
      </c>
      <c r="S147" s="92">
        <f t="shared" si="77"/>
        <v>0</v>
      </c>
      <c r="T147" s="92">
        <f t="shared" si="85"/>
        <v>0</v>
      </c>
    </row>
    <row r="148" spans="1:20" ht="21.75" customHeight="1">
      <c r="A148" s="71">
        <v>43</v>
      </c>
      <c r="B148" s="86">
        <f>B147+4700</f>
        <v>35336</v>
      </c>
      <c r="C148" s="92">
        <f t="shared" si="78"/>
        <v>120.60068259385666</v>
      </c>
      <c r="D148" s="92">
        <f t="shared" si="71"/>
        <v>0.49077777777777754</v>
      </c>
      <c r="E148" s="92">
        <f t="shared" si="79"/>
        <v>7.7788277777777735</v>
      </c>
      <c r="F148" s="91">
        <v>32</v>
      </c>
      <c r="G148" s="94">
        <f t="shared" si="80"/>
        <v>1.28</v>
      </c>
      <c r="H148" s="91"/>
      <c r="I148" s="94">
        <f t="shared" si="81"/>
        <v>0</v>
      </c>
      <c r="J148" s="97">
        <f t="shared" si="72"/>
        <v>93.87349532223307</v>
      </c>
      <c r="K148" s="92">
        <f t="shared" si="82"/>
        <v>0.9574471251275853</v>
      </c>
      <c r="L148" s="92">
        <f t="shared" si="73"/>
        <v>0</v>
      </c>
      <c r="M148" s="92">
        <f t="shared" si="83"/>
        <v>0</v>
      </c>
      <c r="N148" s="92">
        <f t="shared" si="74"/>
        <v>0.6102321142609145</v>
      </c>
      <c r="O148" s="92">
        <f t="shared" si="75"/>
        <v>183.02635915483248</v>
      </c>
      <c r="P148" s="91"/>
      <c r="Q148" s="92">
        <f t="shared" si="76"/>
        <v>0</v>
      </c>
      <c r="R148" s="92">
        <f t="shared" si="84"/>
        <v>0</v>
      </c>
      <c r="S148" s="92">
        <f t="shared" si="77"/>
        <v>0</v>
      </c>
      <c r="T148" s="92">
        <f t="shared" si="85"/>
        <v>0</v>
      </c>
    </row>
    <row r="149" spans="1:20" ht="21.75" customHeight="1">
      <c r="A149" s="71">
        <v>44</v>
      </c>
      <c r="B149" s="86">
        <f>B148+2170</f>
        <v>37506</v>
      </c>
      <c r="C149" s="92">
        <f t="shared" si="78"/>
        <v>128.00682593856655</v>
      </c>
      <c r="D149" s="92">
        <f t="shared" si="71"/>
        <v>0.5209166666666664</v>
      </c>
      <c r="E149" s="92">
        <f t="shared" si="79"/>
        <v>8.256529166666661</v>
      </c>
      <c r="F149" s="91">
        <v>32</v>
      </c>
      <c r="G149" s="94">
        <f t="shared" si="80"/>
        <v>1.28</v>
      </c>
      <c r="H149" s="91"/>
      <c r="I149" s="94">
        <f t="shared" si="81"/>
        <v>0</v>
      </c>
      <c r="J149" s="97">
        <f t="shared" si="72"/>
        <v>105.33246846613089</v>
      </c>
      <c r="K149" s="92">
        <f t="shared" si="82"/>
        <v>1.074321018614544</v>
      </c>
      <c r="L149" s="92">
        <f t="shared" si="73"/>
        <v>0</v>
      </c>
      <c r="M149" s="92">
        <f t="shared" si="83"/>
        <v>0</v>
      </c>
      <c r="N149" s="92">
        <f t="shared" si="74"/>
        <v>0.647706748853007</v>
      </c>
      <c r="O149" s="92">
        <f t="shared" si="75"/>
        <v>206.19606197853346</v>
      </c>
      <c r="P149" s="91"/>
      <c r="Q149" s="92">
        <f t="shared" si="76"/>
        <v>0</v>
      </c>
      <c r="R149" s="92">
        <f t="shared" si="84"/>
        <v>0</v>
      </c>
      <c r="S149" s="92">
        <f t="shared" si="77"/>
        <v>0</v>
      </c>
      <c r="T149" s="92">
        <f t="shared" si="85"/>
        <v>0</v>
      </c>
    </row>
    <row r="150" spans="1:20" ht="21.75" customHeight="1">
      <c r="A150" s="71">
        <v>45</v>
      </c>
      <c r="B150" s="86">
        <f>B149+5760</f>
        <v>43266</v>
      </c>
      <c r="C150" s="92">
        <f t="shared" si="78"/>
        <v>147.6655290102389</v>
      </c>
      <c r="D150" s="92">
        <f t="shared" si="71"/>
        <v>0.6009166666666663</v>
      </c>
      <c r="E150" s="92">
        <f t="shared" si="79"/>
        <v>9.52452916666666</v>
      </c>
      <c r="F150" s="91">
        <v>40</v>
      </c>
      <c r="G150" s="94">
        <f t="shared" si="80"/>
        <v>1.6</v>
      </c>
      <c r="H150" s="91"/>
      <c r="I150" s="94">
        <f t="shared" si="81"/>
        <v>0</v>
      </c>
      <c r="J150" s="97">
        <f t="shared" si="72"/>
        <v>44.42187363931194</v>
      </c>
      <c r="K150" s="92">
        <f t="shared" si="82"/>
        <v>0.4530735226460335</v>
      </c>
      <c r="L150" s="92">
        <f t="shared" si="73"/>
        <v>0</v>
      </c>
      <c r="M150" s="92">
        <f t="shared" si="83"/>
        <v>0</v>
      </c>
      <c r="N150" s="92">
        <f t="shared" si="74"/>
        <v>0.47819429758863885</v>
      </c>
      <c r="O150" s="92">
        <f t="shared" si="75"/>
        <v>112.39119994005237</v>
      </c>
      <c r="P150" s="91"/>
      <c r="Q150" s="92">
        <f t="shared" si="76"/>
        <v>0</v>
      </c>
      <c r="R150" s="92">
        <f t="shared" si="84"/>
        <v>0</v>
      </c>
      <c r="S150" s="92">
        <f t="shared" si="77"/>
        <v>0</v>
      </c>
      <c r="T150" s="92">
        <f t="shared" si="85"/>
        <v>0</v>
      </c>
    </row>
    <row r="151" spans="1:20" ht="21.75" customHeight="1">
      <c r="A151" s="71">
        <v>46</v>
      </c>
      <c r="B151" s="86">
        <f>B150+2170</f>
        <v>45436</v>
      </c>
      <c r="C151" s="92">
        <f t="shared" si="78"/>
        <v>155.07167235494882</v>
      </c>
      <c r="D151" s="92">
        <f t="shared" si="71"/>
        <v>0.6310555555555553</v>
      </c>
      <c r="E151" s="92">
        <f t="shared" si="79"/>
        <v>10.00223055555555</v>
      </c>
      <c r="F151" s="91">
        <v>40</v>
      </c>
      <c r="G151" s="94">
        <f t="shared" si="80"/>
        <v>1.6</v>
      </c>
      <c r="H151" s="91"/>
      <c r="I151" s="94">
        <f t="shared" si="81"/>
        <v>0</v>
      </c>
      <c r="J151" s="97">
        <f t="shared" si="72"/>
        <v>48.79703374648719</v>
      </c>
      <c r="K151" s="92">
        <f t="shared" si="82"/>
        <v>0.497697241537171</v>
      </c>
      <c r="L151" s="92">
        <f t="shared" si="73"/>
        <v>0</v>
      </c>
      <c r="M151" s="92">
        <f t="shared" si="83"/>
        <v>0</v>
      </c>
      <c r="N151" s="92">
        <f t="shared" si="74"/>
        <v>0.5021780637275781</v>
      </c>
      <c r="O151" s="92">
        <f t="shared" si="75"/>
        <v>123.94784997923172</v>
      </c>
      <c r="P151" s="91"/>
      <c r="Q151" s="92">
        <f t="shared" si="76"/>
        <v>0</v>
      </c>
      <c r="R151" s="92">
        <f t="shared" si="84"/>
        <v>0</v>
      </c>
      <c r="S151" s="92">
        <f t="shared" si="77"/>
        <v>0</v>
      </c>
      <c r="T151" s="92">
        <f t="shared" si="85"/>
        <v>0</v>
      </c>
    </row>
    <row r="152" spans="1:20" ht="21.75" customHeight="1">
      <c r="A152" s="71">
        <v>47</v>
      </c>
      <c r="B152" s="86">
        <f>B151+12360</f>
        <v>57796</v>
      </c>
      <c r="C152" s="92">
        <f t="shared" si="78"/>
        <v>197.25597269624572</v>
      </c>
      <c r="D152" s="92">
        <f t="shared" si="71"/>
        <v>0.8027222222222218</v>
      </c>
      <c r="E152" s="92">
        <f t="shared" si="79"/>
        <v>12.723147222222215</v>
      </c>
      <c r="F152" s="91">
        <v>40</v>
      </c>
      <c r="G152" s="94">
        <f t="shared" si="80"/>
        <v>1.6</v>
      </c>
      <c r="H152" s="91"/>
      <c r="I152" s="94">
        <f t="shared" si="81"/>
        <v>0</v>
      </c>
      <c r="J152" s="97">
        <f t="shared" si="72"/>
        <v>77.58515246718324</v>
      </c>
      <c r="K152" s="92">
        <f t="shared" si="82"/>
        <v>0.7913168773283823</v>
      </c>
      <c r="L152" s="92">
        <f t="shared" si="73"/>
        <v>0</v>
      </c>
      <c r="M152" s="92">
        <f t="shared" si="83"/>
        <v>0</v>
      </c>
      <c r="N152" s="92">
        <f t="shared" si="74"/>
        <v>0.6387860588784028</v>
      </c>
      <c r="O152" s="92">
        <f t="shared" si="75"/>
        <v>200.55540966205322</v>
      </c>
      <c r="P152" s="91"/>
      <c r="Q152" s="92">
        <f t="shared" si="76"/>
        <v>0</v>
      </c>
      <c r="R152" s="92">
        <f t="shared" si="84"/>
        <v>0</v>
      </c>
      <c r="S152" s="92">
        <f t="shared" si="77"/>
        <v>0</v>
      </c>
      <c r="T152" s="92">
        <f t="shared" si="85"/>
        <v>0</v>
      </c>
    </row>
    <row r="153" spans="1:20" ht="21.75" customHeight="1">
      <c r="A153" s="71">
        <v>48</v>
      </c>
      <c r="B153" s="86">
        <f>B152+651</f>
        <v>58447</v>
      </c>
      <c r="C153" s="92">
        <f t="shared" si="78"/>
        <v>199.4778156996587</v>
      </c>
      <c r="D153" s="92">
        <f t="shared" si="71"/>
        <v>0.8117638888888884</v>
      </c>
      <c r="E153" s="92">
        <f t="shared" si="79"/>
        <v>12.86645763888888</v>
      </c>
      <c r="F153" s="91">
        <v>40</v>
      </c>
      <c r="G153" s="94">
        <f t="shared" si="80"/>
        <v>1.6</v>
      </c>
      <c r="H153" s="91"/>
      <c r="I153" s="94">
        <f t="shared" si="81"/>
        <v>0</v>
      </c>
      <c r="J153" s="97">
        <f t="shared" si="72"/>
        <v>79.28376074099295</v>
      </c>
      <c r="K153" s="92">
        <f t="shared" si="82"/>
        <v>0.8086415503140261</v>
      </c>
      <c r="L153" s="92">
        <f t="shared" si="73"/>
        <v>0</v>
      </c>
      <c r="M153" s="92">
        <f t="shared" si="83"/>
        <v>0</v>
      </c>
      <c r="N153" s="92">
        <f t="shared" si="74"/>
        <v>0.6459811887200845</v>
      </c>
      <c r="O153" s="92">
        <f t="shared" si="75"/>
        <v>205.0988686725749</v>
      </c>
      <c r="P153" s="91"/>
      <c r="Q153" s="92">
        <f t="shared" si="76"/>
        <v>0</v>
      </c>
      <c r="R153" s="92">
        <f t="shared" si="84"/>
        <v>0</v>
      </c>
      <c r="S153" s="92">
        <f t="shared" si="77"/>
        <v>0</v>
      </c>
      <c r="T153" s="92">
        <f t="shared" si="85"/>
        <v>0</v>
      </c>
    </row>
    <row r="154" spans="1:20" ht="21.75" customHeight="1">
      <c r="A154" s="71">
        <v>49</v>
      </c>
      <c r="B154" s="86">
        <f>B153+4340</f>
        <v>62787</v>
      </c>
      <c r="C154" s="92">
        <f t="shared" si="78"/>
        <v>214.2901023890785</v>
      </c>
      <c r="D154" s="92">
        <f t="shared" si="71"/>
        <v>0.8720416666666663</v>
      </c>
      <c r="E154" s="92">
        <f t="shared" si="79"/>
        <v>13.82186041666666</v>
      </c>
      <c r="F154" s="91">
        <v>40</v>
      </c>
      <c r="G154" s="94">
        <f t="shared" si="80"/>
        <v>1.6</v>
      </c>
      <c r="H154" s="91"/>
      <c r="I154" s="94">
        <f t="shared" si="81"/>
        <v>0</v>
      </c>
      <c r="J154" s="97">
        <f t="shared" si="72"/>
        <v>91.07394425770634</v>
      </c>
      <c r="K154" s="92">
        <f t="shared" si="82"/>
        <v>0.9288935689914462</v>
      </c>
      <c r="L154" s="92">
        <f t="shared" si="73"/>
        <v>0</v>
      </c>
      <c r="M154" s="92">
        <f t="shared" si="83"/>
        <v>0</v>
      </c>
      <c r="N154" s="92">
        <f t="shared" si="74"/>
        <v>0.6939487209979631</v>
      </c>
      <c r="O154" s="92">
        <f t="shared" si="75"/>
        <v>236.6891126546694</v>
      </c>
      <c r="P154" s="91"/>
      <c r="Q154" s="92">
        <f t="shared" si="76"/>
        <v>0</v>
      </c>
      <c r="R154" s="92">
        <f t="shared" si="84"/>
        <v>0</v>
      </c>
      <c r="S154" s="92">
        <f t="shared" si="77"/>
        <v>0</v>
      </c>
      <c r="T154" s="92">
        <f t="shared" si="85"/>
        <v>0</v>
      </c>
    </row>
    <row r="155" spans="1:20" ht="21.75" customHeight="1">
      <c r="A155" s="71">
        <v>50</v>
      </c>
      <c r="B155" s="86">
        <f>B154+1770</f>
        <v>64557</v>
      </c>
      <c r="C155" s="92">
        <f t="shared" si="78"/>
        <v>220.33105802047783</v>
      </c>
      <c r="D155" s="92">
        <f t="shared" si="71"/>
        <v>0.8966249999999995</v>
      </c>
      <c r="E155" s="92">
        <f t="shared" si="79"/>
        <v>14.21150624999999</v>
      </c>
      <c r="F155" s="91">
        <v>40</v>
      </c>
      <c r="G155" s="94">
        <f t="shared" si="80"/>
        <v>1.6</v>
      </c>
      <c r="H155" s="91"/>
      <c r="I155" s="94">
        <f t="shared" si="81"/>
        <v>0</v>
      </c>
      <c r="J155" s="97">
        <f t="shared" si="72"/>
        <v>96.11508215801324</v>
      </c>
      <c r="K155" s="92">
        <f t="shared" si="82"/>
        <v>0.9803098177787373</v>
      </c>
      <c r="L155" s="92">
        <f t="shared" si="73"/>
        <v>0</v>
      </c>
      <c r="M155" s="92">
        <f t="shared" si="83"/>
        <v>0</v>
      </c>
      <c r="N155" s="92">
        <f t="shared" si="74"/>
        <v>0.7135115164200471</v>
      </c>
      <c r="O155" s="92">
        <f t="shared" si="75"/>
        <v>250.22200321747326</v>
      </c>
      <c r="P155" s="91"/>
      <c r="Q155" s="92">
        <f t="shared" si="76"/>
        <v>0</v>
      </c>
      <c r="R155" s="92">
        <f t="shared" si="84"/>
        <v>0</v>
      </c>
      <c r="S155" s="92">
        <f t="shared" si="77"/>
        <v>0</v>
      </c>
      <c r="T155" s="92">
        <f t="shared" si="85"/>
        <v>0</v>
      </c>
    </row>
    <row r="156" spans="1:20" ht="21.75" customHeight="1">
      <c r="A156" s="71">
        <v>51</v>
      </c>
      <c r="B156" s="86">
        <f>B155+1770</f>
        <v>66327</v>
      </c>
      <c r="C156" s="92">
        <f t="shared" si="78"/>
        <v>226.37201365187713</v>
      </c>
      <c r="D156" s="92">
        <f t="shared" si="71"/>
        <v>0.9212083333333329</v>
      </c>
      <c r="E156" s="92">
        <f t="shared" si="79"/>
        <v>14.601152083333325</v>
      </c>
      <c r="F156" s="91">
        <v>40</v>
      </c>
      <c r="G156" s="94">
        <f t="shared" si="80"/>
        <v>1.6</v>
      </c>
      <c r="H156" s="91"/>
      <c r="I156" s="94">
        <f t="shared" si="81"/>
        <v>0</v>
      </c>
      <c r="J156" s="97">
        <f t="shared" si="72"/>
        <v>101.29102519433373</v>
      </c>
      <c r="K156" s="92">
        <f t="shared" si="82"/>
        <v>1.0331009891625036</v>
      </c>
      <c r="L156" s="92">
        <f t="shared" si="73"/>
        <v>0</v>
      </c>
      <c r="M156" s="92">
        <f t="shared" si="83"/>
        <v>0</v>
      </c>
      <c r="N156" s="92">
        <f t="shared" si="74"/>
        <v>0.7330743118421312</v>
      </c>
      <c r="O156" s="92">
        <f t="shared" si="75"/>
        <v>264.1310907946032</v>
      </c>
      <c r="P156" s="91"/>
      <c r="Q156" s="92">
        <f t="shared" si="76"/>
        <v>0</v>
      </c>
      <c r="R156" s="92">
        <f t="shared" si="84"/>
        <v>0</v>
      </c>
      <c r="S156" s="92">
        <f t="shared" si="77"/>
        <v>0</v>
      </c>
      <c r="T156" s="92">
        <f t="shared" si="85"/>
        <v>0</v>
      </c>
    </row>
    <row r="157" spans="1:20" ht="21.75" customHeight="1">
      <c r="A157" s="71">
        <v>52</v>
      </c>
      <c r="B157" s="86">
        <f>B156+5820</f>
        <v>72147</v>
      </c>
      <c r="C157" s="92">
        <f t="shared" si="78"/>
        <v>246.23549488054607</v>
      </c>
      <c r="D157" s="92">
        <f t="shared" si="71"/>
        <v>1.002041666666666</v>
      </c>
      <c r="E157" s="92">
        <f t="shared" si="79"/>
        <v>15.882360416666657</v>
      </c>
      <c r="F157" s="91">
        <v>40</v>
      </c>
      <c r="G157" s="94">
        <f t="shared" si="80"/>
        <v>1.6</v>
      </c>
      <c r="H157" s="91"/>
      <c r="I157" s="94">
        <f t="shared" si="81"/>
        <v>0</v>
      </c>
      <c r="J157" s="97">
        <f t="shared" si="72"/>
        <v>119.26049261436968</v>
      </c>
      <c r="K157" s="92">
        <f t="shared" si="82"/>
        <v>1.2163775877628802</v>
      </c>
      <c r="L157" s="92">
        <f t="shared" si="73"/>
        <v>0</v>
      </c>
      <c r="M157" s="92">
        <f t="shared" si="83"/>
        <v>0</v>
      </c>
      <c r="N157" s="92">
        <f t="shared" si="74"/>
        <v>0.7973994357723738</v>
      </c>
      <c r="O157" s="92">
        <f t="shared" si="75"/>
        <v>312.5182402736042</v>
      </c>
      <c r="P157" s="91"/>
      <c r="Q157" s="92">
        <f t="shared" si="76"/>
        <v>0</v>
      </c>
      <c r="R157" s="92">
        <f t="shared" si="84"/>
        <v>0</v>
      </c>
      <c r="S157" s="92">
        <f t="shared" si="77"/>
        <v>0</v>
      </c>
      <c r="T157" s="92">
        <f t="shared" si="85"/>
        <v>0</v>
      </c>
    </row>
    <row r="158" spans="1:20" ht="21.75" customHeight="1">
      <c r="A158" s="71">
        <v>53</v>
      </c>
      <c r="B158" s="86">
        <f>B157+5270</f>
        <v>77417</v>
      </c>
      <c r="C158" s="92">
        <f t="shared" si="78"/>
        <v>264.22184300341297</v>
      </c>
      <c r="D158" s="92">
        <f t="shared" si="71"/>
        <v>1.0752361111111104</v>
      </c>
      <c r="E158" s="92">
        <f t="shared" si="79"/>
        <v>17.042492361111098</v>
      </c>
      <c r="F158" s="91">
        <v>40</v>
      </c>
      <c r="G158" s="94">
        <f t="shared" si="80"/>
        <v>1.6</v>
      </c>
      <c r="H158" s="91"/>
      <c r="I158" s="94">
        <f t="shared" si="81"/>
        <v>0</v>
      </c>
      <c r="J158" s="97">
        <f t="shared" si="72"/>
        <v>136.78889904113913</v>
      </c>
      <c r="K158" s="92">
        <f t="shared" si="82"/>
        <v>1.3951556580133817</v>
      </c>
      <c r="L158" s="92">
        <f t="shared" si="73"/>
        <v>0</v>
      </c>
      <c r="M158" s="92">
        <f t="shared" si="83"/>
        <v>0</v>
      </c>
      <c r="N158" s="92">
        <f t="shared" si="74"/>
        <v>0.8556457249669406</v>
      </c>
      <c r="O158" s="92">
        <f t="shared" si="75"/>
        <v>359.84170167054</v>
      </c>
      <c r="P158" s="91"/>
      <c r="Q158" s="92">
        <f t="shared" si="76"/>
        <v>0</v>
      </c>
      <c r="R158" s="92">
        <f t="shared" si="84"/>
        <v>0</v>
      </c>
      <c r="S158" s="92">
        <f t="shared" si="77"/>
        <v>0</v>
      </c>
      <c r="T158" s="92">
        <f t="shared" si="85"/>
        <v>0</v>
      </c>
    </row>
    <row r="159" spans="1:20" ht="21.75" customHeight="1">
      <c r="A159" s="71">
        <v>54</v>
      </c>
      <c r="B159" s="86">
        <f>B158+5270</f>
        <v>82687</v>
      </c>
      <c r="C159" s="92">
        <f t="shared" si="78"/>
        <v>282.20819112627987</v>
      </c>
      <c r="D159" s="92">
        <f t="shared" si="71"/>
        <v>1.148430555555555</v>
      </c>
      <c r="E159" s="92">
        <f t="shared" si="79"/>
        <v>18.202624305555545</v>
      </c>
      <c r="F159" s="91">
        <v>40</v>
      </c>
      <c r="G159" s="94">
        <f t="shared" si="80"/>
        <v>1.6</v>
      </c>
      <c r="H159" s="91"/>
      <c r="I159" s="94">
        <f t="shared" si="81"/>
        <v>0</v>
      </c>
      <c r="J159" s="97">
        <f t="shared" si="72"/>
        <v>155.5118823910294</v>
      </c>
      <c r="K159" s="92">
        <f t="shared" si="82"/>
        <v>1.5861176171971727</v>
      </c>
      <c r="L159" s="92">
        <f t="shared" si="73"/>
        <v>0</v>
      </c>
      <c r="M159" s="92">
        <f t="shared" si="83"/>
        <v>0</v>
      </c>
      <c r="N159" s="92">
        <f t="shared" si="74"/>
        <v>0.9138920141615076</v>
      </c>
      <c r="O159" s="92">
        <f t="shared" si="75"/>
        <v>410.50011855892905</v>
      </c>
      <c r="P159" s="91"/>
      <c r="Q159" s="92">
        <f t="shared" si="76"/>
        <v>0</v>
      </c>
      <c r="R159" s="92">
        <f t="shared" si="84"/>
        <v>0</v>
      </c>
      <c r="S159" s="92">
        <f t="shared" si="77"/>
        <v>0</v>
      </c>
      <c r="T159" s="92">
        <f t="shared" si="85"/>
        <v>0</v>
      </c>
    </row>
    <row r="160" spans="1:20" ht="21.75" customHeight="1">
      <c r="A160" s="71">
        <v>55</v>
      </c>
      <c r="B160" s="86">
        <f>B159+5270</f>
        <v>87957</v>
      </c>
      <c r="C160" s="92">
        <f t="shared" si="78"/>
        <v>300.19453924914677</v>
      </c>
      <c r="D160" s="92">
        <f t="shared" si="71"/>
        <v>1.2216249999999993</v>
      </c>
      <c r="E160" s="92">
        <f t="shared" si="79"/>
        <v>19.36275624999999</v>
      </c>
      <c r="F160" s="91">
        <v>40</v>
      </c>
      <c r="G160" s="94">
        <f t="shared" si="80"/>
        <v>1.6</v>
      </c>
      <c r="H160" s="91"/>
      <c r="I160" s="94">
        <f t="shared" si="81"/>
        <v>0</v>
      </c>
      <c r="J160" s="97">
        <f t="shared" si="72"/>
        <v>175.42931841150053</v>
      </c>
      <c r="K160" s="92">
        <f t="shared" si="82"/>
        <v>1.789262198021108</v>
      </c>
      <c r="L160" s="92">
        <f t="shared" si="73"/>
        <v>0</v>
      </c>
      <c r="M160" s="92">
        <f t="shared" si="83"/>
        <v>0</v>
      </c>
      <c r="N160" s="92">
        <f t="shared" si="74"/>
        <v>0.9721383033560743</v>
      </c>
      <c r="O160" s="92">
        <f t="shared" si="75"/>
        <v>464.4934909387712</v>
      </c>
      <c r="P160" s="91"/>
      <c r="Q160" s="92">
        <f t="shared" si="76"/>
        <v>0</v>
      </c>
      <c r="R160" s="92">
        <f t="shared" si="84"/>
        <v>0</v>
      </c>
      <c r="S160" s="92">
        <f t="shared" si="77"/>
        <v>0</v>
      </c>
      <c r="T160" s="92">
        <f t="shared" si="85"/>
        <v>0</v>
      </c>
    </row>
    <row r="161" spans="1:20" ht="21.75" customHeight="1">
      <c r="A161" s="71">
        <v>56</v>
      </c>
      <c r="B161" s="86">
        <f>B160+5270</f>
        <v>93227</v>
      </c>
      <c r="C161" s="92">
        <f t="shared" si="78"/>
        <v>318.1808873720137</v>
      </c>
      <c r="D161" s="92">
        <f t="shared" si="71"/>
        <v>1.2948194444444439</v>
      </c>
      <c r="E161" s="92">
        <f t="shared" si="79"/>
        <v>20.522888194444434</v>
      </c>
      <c r="F161" s="91">
        <v>50</v>
      </c>
      <c r="G161" s="94">
        <f t="shared" si="80"/>
        <v>2</v>
      </c>
      <c r="H161" s="91"/>
      <c r="I161" s="94">
        <f t="shared" si="81"/>
        <v>0</v>
      </c>
      <c r="J161" s="97">
        <f t="shared" si="72"/>
        <v>62.42767829530896</v>
      </c>
      <c r="K161" s="92">
        <f t="shared" si="82"/>
        <v>0.636720736849745</v>
      </c>
      <c r="L161" s="92">
        <f t="shared" si="73"/>
        <v>0</v>
      </c>
      <c r="M161" s="92">
        <f t="shared" si="83"/>
        <v>0</v>
      </c>
      <c r="N161" s="92">
        <f t="shared" si="74"/>
        <v>0.6594461392324105</v>
      </c>
      <c r="O161" s="92">
        <f t="shared" si="75"/>
        <v>213.73821698460333</v>
      </c>
      <c r="P161" s="91"/>
      <c r="Q161" s="92">
        <f t="shared" si="76"/>
        <v>0</v>
      </c>
      <c r="R161" s="92">
        <f t="shared" si="84"/>
        <v>0</v>
      </c>
      <c r="S161" s="92">
        <f t="shared" si="77"/>
        <v>0</v>
      </c>
      <c r="T161" s="92">
        <f t="shared" si="85"/>
        <v>0</v>
      </c>
    </row>
    <row r="162" spans="1:20" ht="21.75" customHeight="1">
      <c r="A162" s="71">
        <v>57</v>
      </c>
      <c r="B162" s="86">
        <f>B161+5440</f>
        <v>98667</v>
      </c>
      <c r="C162" s="92">
        <f t="shared" si="78"/>
        <v>336.74744027303757</v>
      </c>
      <c r="D162" s="92">
        <f t="shared" si="71"/>
        <v>1.3703749999999992</v>
      </c>
      <c r="E162" s="92">
        <f t="shared" si="79"/>
        <v>21.720443749999987</v>
      </c>
      <c r="F162" s="91">
        <v>50</v>
      </c>
      <c r="G162" s="94">
        <f t="shared" si="80"/>
        <v>2</v>
      </c>
      <c r="H162" s="91"/>
      <c r="I162" s="94">
        <f t="shared" si="81"/>
        <v>0</v>
      </c>
      <c r="J162" s="97">
        <f t="shared" si="72"/>
        <v>69.67316276527424</v>
      </c>
      <c r="K162" s="92">
        <f t="shared" si="82"/>
        <v>0.7106198523787032</v>
      </c>
      <c r="L162" s="92">
        <f t="shared" si="73"/>
        <v>0</v>
      </c>
      <c r="M162" s="92">
        <f t="shared" si="83"/>
        <v>0</v>
      </c>
      <c r="N162" s="92">
        <f t="shared" si="74"/>
        <v>0.6979262683519177</v>
      </c>
      <c r="O162" s="92">
        <f t="shared" si="75"/>
        <v>239.41017888134365</v>
      </c>
      <c r="P162" s="91"/>
      <c r="Q162" s="92">
        <f t="shared" si="76"/>
        <v>0</v>
      </c>
      <c r="R162" s="92">
        <f t="shared" si="84"/>
        <v>0</v>
      </c>
      <c r="S162" s="92">
        <f t="shared" si="77"/>
        <v>0</v>
      </c>
      <c r="T162" s="92">
        <f t="shared" si="85"/>
        <v>0</v>
      </c>
    </row>
    <row r="163" spans="1:20" ht="21.75" customHeight="1">
      <c r="A163" s="71">
        <v>58</v>
      </c>
      <c r="B163" s="86">
        <f>B162+3820</f>
        <v>102487</v>
      </c>
      <c r="C163" s="92">
        <f t="shared" si="78"/>
        <v>349.7849829351536</v>
      </c>
      <c r="D163" s="92">
        <f t="shared" si="71"/>
        <v>1.4234305555555546</v>
      </c>
      <c r="E163" s="92">
        <f t="shared" si="79"/>
        <v>22.56137430555554</v>
      </c>
      <c r="F163" s="91">
        <v>50</v>
      </c>
      <c r="G163" s="94">
        <f t="shared" si="80"/>
        <v>2</v>
      </c>
      <c r="H163" s="91"/>
      <c r="I163" s="94">
        <f t="shared" si="81"/>
        <v>0</v>
      </c>
      <c r="J163" s="97">
        <f t="shared" si="72"/>
        <v>74.99684741674072</v>
      </c>
      <c r="K163" s="92">
        <f t="shared" si="82"/>
        <v>0.7649178898293788</v>
      </c>
      <c r="L163" s="92">
        <f t="shared" si="73"/>
        <v>0</v>
      </c>
      <c r="M163" s="92">
        <f t="shared" si="83"/>
        <v>0</v>
      </c>
      <c r="N163" s="92">
        <f t="shared" si="74"/>
        <v>0.7249472413733364</v>
      </c>
      <c r="O163" s="92">
        <f t="shared" si="75"/>
        <v>258.30708911381936</v>
      </c>
      <c r="P163" s="91"/>
      <c r="Q163" s="92">
        <f t="shared" si="76"/>
        <v>0</v>
      </c>
      <c r="R163" s="92">
        <f t="shared" si="84"/>
        <v>0</v>
      </c>
      <c r="S163" s="92">
        <f t="shared" si="77"/>
        <v>0</v>
      </c>
      <c r="T163" s="92">
        <f t="shared" si="85"/>
        <v>0</v>
      </c>
    </row>
    <row r="164" spans="1:20" ht="21.75" customHeight="1">
      <c r="A164" s="71">
        <v>59</v>
      </c>
      <c r="B164" s="86">
        <f>B163+5440</f>
        <v>107927</v>
      </c>
      <c r="C164" s="92">
        <f t="shared" si="78"/>
        <v>368.35153583617745</v>
      </c>
      <c r="D164" s="92">
        <f t="shared" si="71"/>
        <v>1.4989861111111102</v>
      </c>
      <c r="E164" s="92">
        <f t="shared" si="79"/>
        <v>23.758929861111096</v>
      </c>
      <c r="F164" s="91">
        <v>50</v>
      </c>
      <c r="G164" s="94">
        <f t="shared" si="80"/>
        <v>2</v>
      </c>
      <c r="H164" s="91"/>
      <c r="I164" s="94">
        <f t="shared" si="81"/>
        <v>0</v>
      </c>
      <c r="J164" s="97">
        <f t="shared" si="72"/>
        <v>82.91406555006284</v>
      </c>
      <c r="K164" s="92">
        <f t="shared" si="82"/>
        <v>0.8456682412969238</v>
      </c>
      <c r="L164" s="92">
        <f t="shared" si="73"/>
        <v>0</v>
      </c>
      <c r="M164" s="92">
        <f t="shared" si="83"/>
        <v>0</v>
      </c>
      <c r="N164" s="92">
        <f t="shared" si="74"/>
        <v>0.7634273704928438</v>
      </c>
      <c r="O164" s="92">
        <f t="shared" si="75"/>
        <v>286.4566935336592</v>
      </c>
      <c r="P164" s="91"/>
      <c r="Q164" s="92">
        <f t="shared" si="76"/>
        <v>0</v>
      </c>
      <c r="R164" s="92">
        <f t="shared" si="84"/>
        <v>0</v>
      </c>
      <c r="S164" s="92">
        <f t="shared" si="77"/>
        <v>0</v>
      </c>
      <c r="T164" s="92">
        <f t="shared" si="85"/>
        <v>0</v>
      </c>
    </row>
    <row r="165" spans="1:20" ht="21.75" customHeight="1">
      <c r="A165" s="71">
        <v>60</v>
      </c>
      <c r="B165" s="86">
        <f>B164+2604</f>
        <v>110531</v>
      </c>
      <c r="C165" s="92">
        <f t="shared" si="78"/>
        <v>377.23890784982933</v>
      </c>
      <c r="D165" s="92">
        <f t="shared" si="71"/>
        <v>1.535152777777777</v>
      </c>
      <c r="E165" s="92">
        <f t="shared" si="79"/>
        <v>24.332171527777763</v>
      </c>
      <c r="F165" s="91">
        <v>50</v>
      </c>
      <c r="G165" s="94">
        <f t="shared" si="80"/>
        <v>2</v>
      </c>
      <c r="H165" s="91"/>
      <c r="I165" s="94">
        <f t="shared" si="81"/>
        <v>0</v>
      </c>
      <c r="J165" s="97">
        <f t="shared" si="72"/>
        <v>86.84348944490284</v>
      </c>
      <c r="K165" s="92">
        <f t="shared" si="82"/>
        <v>0.8857457477177499</v>
      </c>
      <c r="L165" s="92">
        <f t="shared" si="73"/>
        <v>0</v>
      </c>
      <c r="M165" s="92">
        <f t="shared" si="83"/>
        <v>0</v>
      </c>
      <c r="N165" s="92">
        <f t="shared" si="74"/>
        <v>0.7818469028875492</v>
      </c>
      <c r="O165" s="92">
        <f t="shared" si="75"/>
        <v>300.4463708512102</v>
      </c>
      <c r="P165" s="91"/>
      <c r="Q165" s="92">
        <f t="shared" si="76"/>
        <v>0</v>
      </c>
      <c r="R165" s="92">
        <f t="shared" si="84"/>
        <v>0</v>
      </c>
      <c r="S165" s="92">
        <f t="shared" si="77"/>
        <v>0</v>
      </c>
      <c r="T165" s="92">
        <f t="shared" si="85"/>
        <v>0</v>
      </c>
    </row>
    <row r="166" spans="1:20" ht="21.75" customHeight="1">
      <c r="A166" s="71">
        <v>61</v>
      </c>
      <c r="B166" s="86">
        <f>B165+9764</f>
        <v>120295</v>
      </c>
      <c r="C166" s="92">
        <f t="shared" si="78"/>
        <v>410.56313993174064</v>
      </c>
      <c r="D166" s="92">
        <f t="shared" si="71"/>
        <v>1.6707638888888878</v>
      </c>
      <c r="E166" s="92">
        <f t="shared" si="79"/>
        <v>26.48160763888887</v>
      </c>
      <c r="F166" s="91">
        <v>50</v>
      </c>
      <c r="G166" s="94">
        <f t="shared" si="80"/>
        <v>2</v>
      </c>
      <c r="H166" s="91"/>
      <c r="I166" s="94">
        <f t="shared" si="81"/>
        <v>0</v>
      </c>
      <c r="J166" s="97">
        <f t="shared" si="72"/>
        <v>102.3822677316848</v>
      </c>
      <c r="K166" s="92">
        <f t="shared" si="82"/>
        <v>1.0442309361898012</v>
      </c>
      <c r="L166" s="92">
        <f t="shared" si="73"/>
        <v>0</v>
      </c>
      <c r="M166" s="92">
        <f t="shared" si="83"/>
        <v>0</v>
      </c>
      <c r="N166" s="92">
        <f t="shared" si="74"/>
        <v>0.8509130758145472</v>
      </c>
      <c r="O166" s="92">
        <f t="shared" si="75"/>
        <v>355.87208026405324</v>
      </c>
      <c r="P166" s="91"/>
      <c r="Q166" s="92">
        <f t="shared" si="76"/>
        <v>0</v>
      </c>
      <c r="R166" s="92">
        <f t="shared" si="84"/>
        <v>0</v>
      </c>
      <c r="S166" s="92">
        <f t="shared" si="77"/>
        <v>0</v>
      </c>
      <c r="T166" s="92">
        <f t="shared" si="85"/>
        <v>0</v>
      </c>
    </row>
    <row r="167" spans="1:20" ht="21.75" customHeight="1">
      <c r="A167" s="71">
        <v>62</v>
      </c>
      <c r="B167" s="86">
        <f>B166+4870</f>
        <v>125165</v>
      </c>
      <c r="C167" s="92">
        <f t="shared" si="78"/>
        <v>427.18430034129693</v>
      </c>
      <c r="D167" s="92">
        <f t="shared" si="71"/>
        <v>1.7384027777777769</v>
      </c>
      <c r="E167" s="92">
        <f t="shared" si="79"/>
        <v>27.553684027777763</v>
      </c>
      <c r="F167" s="91">
        <v>50</v>
      </c>
      <c r="G167" s="94">
        <f t="shared" si="80"/>
        <v>2</v>
      </c>
      <c r="H167" s="91"/>
      <c r="I167" s="94">
        <f t="shared" si="81"/>
        <v>0</v>
      </c>
      <c r="J167" s="97">
        <f t="shared" si="72"/>
        <v>110.60755760655087</v>
      </c>
      <c r="K167" s="92">
        <f t="shared" si="82"/>
        <v>1.1281234142209922</v>
      </c>
      <c r="L167" s="92">
        <f t="shared" si="73"/>
        <v>0</v>
      </c>
      <c r="M167" s="92">
        <f t="shared" si="83"/>
        <v>0</v>
      </c>
      <c r="N167" s="92">
        <f t="shared" si="74"/>
        <v>0.8853612796402828</v>
      </c>
      <c r="O167" s="92">
        <f t="shared" si="75"/>
        <v>385.2694486815061</v>
      </c>
      <c r="P167" s="91"/>
      <c r="Q167" s="92">
        <f t="shared" si="76"/>
        <v>0</v>
      </c>
      <c r="R167" s="92">
        <f t="shared" si="84"/>
        <v>0</v>
      </c>
      <c r="S167" s="92">
        <f t="shared" si="77"/>
        <v>0</v>
      </c>
      <c r="T167" s="92">
        <f t="shared" si="85"/>
        <v>0</v>
      </c>
    </row>
    <row r="168" spans="1:20" ht="21.75" customHeight="1">
      <c r="A168" s="71">
        <v>63</v>
      </c>
      <c r="B168" s="86">
        <f>B167+4430</f>
        <v>129595</v>
      </c>
      <c r="C168" s="92">
        <f t="shared" si="78"/>
        <v>442.3037542662116</v>
      </c>
      <c r="D168" s="92">
        <f t="shared" si="71"/>
        <v>1.7999305555555545</v>
      </c>
      <c r="E168" s="92">
        <f t="shared" si="79"/>
        <v>28.528899305555537</v>
      </c>
      <c r="F168" s="91">
        <v>50</v>
      </c>
      <c r="G168" s="94">
        <f t="shared" si="80"/>
        <v>2</v>
      </c>
      <c r="H168" s="91"/>
      <c r="I168" s="94">
        <f t="shared" si="81"/>
        <v>0</v>
      </c>
      <c r="J168" s="97">
        <f t="shared" si="72"/>
        <v>118.36426686740919</v>
      </c>
      <c r="K168" s="92">
        <f t="shared" si="82"/>
        <v>1.2072366821009877</v>
      </c>
      <c r="L168" s="92">
        <f t="shared" si="73"/>
        <v>0</v>
      </c>
      <c r="M168" s="92">
        <f t="shared" si="83"/>
        <v>0</v>
      </c>
      <c r="N168" s="92">
        <f t="shared" si="74"/>
        <v>0.9166971200813522</v>
      </c>
      <c r="O168" s="92">
        <f t="shared" si="75"/>
        <v>413.02396929801625</v>
      </c>
      <c r="P168" s="91"/>
      <c r="Q168" s="92">
        <f t="shared" si="76"/>
        <v>0</v>
      </c>
      <c r="R168" s="92">
        <f t="shared" si="84"/>
        <v>0</v>
      </c>
      <c r="S168" s="92">
        <f t="shared" si="77"/>
        <v>0</v>
      </c>
      <c r="T168" s="92">
        <f t="shared" si="85"/>
        <v>0</v>
      </c>
    </row>
    <row r="169" spans="1:20" ht="21.75" customHeight="1">
      <c r="A169" s="71">
        <v>64</v>
      </c>
      <c r="B169" s="86">
        <f>B168+1470</f>
        <v>131065</v>
      </c>
      <c r="C169" s="92">
        <f t="shared" si="78"/>
        <v>447.320819112628</v>
      </c>
      <c r="D169" s="92">
        <f t="shared" si="71"/>
        <v>1.8203472222222212</v>
      </c>
      <c r="E169" s="92">
        <f t="shared" si="79"/>
        <v>28.852503472222207</v>
      </c>
      <c r="F169" s="91">
        <v>50</v>
      </c>
      <c r="G169" s="94">
        <f t="shared" si="80"/>
        <v>2</v>
      </c>
      <c r="H169" s="91"/>
      <c r="I169" s="94">
        <f t="shared" si="81"/>
        <v>0</v>
      </c>
      <c r="J169" s="97">
        <f t="shared" si="72"/>
        <v>120.99596148052511</v>
      </c>
      <c r="K169" s="92">
        <f t="shared" si="82"/>
        <v>1.2340782142383857</v>
      </c>
      <c r="L169" s="92">
        <f t="shared" si="73"/>
        <v>0</v>
      </c>
      <c r="M169" s="92">
        <f t="shared" si="83"/>
        <v>0</v>
      </c>
      <c r="N169" s="92">
        <f t="shared" si="74"/>
        <v>0.9270952432073956</v>
      </c>
      <c r="O169" s="92">
        <f t="shared" si="75"/>
        <v>422.44699747407884</v>
      </c>
      <c r="P169" s="91"/>
      <c r="Q169" s="92">
        <f t="shared" si="76"/>
        <v>0</v>
      </c>
      <c r="R169" s="92">
        <f t="shared" si="84"/>
        <v>0</v>
      </c>
      <c r="S169" s="92">
        <f t="shared" si="77"/>
        <v>0</v>
      </c>
      <c r="T169" s="92">
        <f t="shared" si="85"/>
        <v>0</v>
      </c>
    </row>
    <row r="170" spans="1:20" ht="21.75" customHeight="1">
      <c r="A170" s="71">
        <v>65</v>
      </c>
      <c r="B170" s="86">
        <f>B169+4305</f>
        <v>135370</v>
      </c>
      <c r="C170" s="92">
        <f t="shared" si="78"/>
        <v>462.0136518771331</v>
      </c>
      <c r="D170" s="92">
        <f t="shared" si="71"/>
        <v>1.880138888888888</v>
      </c>
      <c r="E170" s="92">
        <f t="shared" si="79"/>
        <v>29.800201388888873</v>
      </c>
      <c r="F170" s="91">
        <v>50</v>
      </c>
      <c r="G170" s="94">
        <f t="shared" si="80"/>
        <v>2</v>
      </c>
      <c r="H170" s="91"/>
      <c r="I170" s="94">
        <f t="shared" si="81"/>
        <v>0</v>
      </c>
      <c r="J170" s="97">
        <f t="shared" si="72"/>
        <v>128.86874002553475</v>
      </c>
      <c r="K170" s="92">
        <f t="shared" si="82"/>
        <v>1.3143753115054175</v>
      </c>
      <c r="L170" s="92">
        <f t="shared" si="73"/>
        <v>0</v>
      </c>
      <c r="M170" s="92">
        <f t="shared" si="83"/>
        <v>0</v>
      </c>
      <c r="N170" s="92">
        <f t="shared" si="74"/>
        <v>0.9575468895050939</v>
      </c>
      <c r="O170" s="92">
        <f t="shared" si="75"/>
        <v>450.65440641283277</v>
      </c>
      <c r="P170" s="91"/>
      <c r="Q170" s="92">
        <f t="shared" si="76"/>
        <v>0</v>
      </c>
      <c r="R170" s="92">
        <f t="shared" si="84"/>
        <v>0</v>
      </c>
      <c r="S170" s="92">
        <f t="shared" si="77"/>
        <v>0</v>
      </c>
      <c r="T170" s="92">
        <f t="shared" si="85"/>
        <v>0</v>
      </c>
    </row>
    <row r="171" spans="1:20" ht="21.75" customHeight="1">
      <c r="A171" s="71">
        <v>66</v>
      </c>
      <c r="B171" s="86">
        <f>B170+4500</f>
        <v>139870</v>
      </c>
      <c r="C171" s="92">
        <f t="shared" si="78"/>
        <v>477.3720136518771</v>
      </c>
      <c r="D171" s="92">
        <f t="shared" si="71"/>
        <v>1.9426388888888877</v>
      </c>
      <c r="E171" s="92">
        <f t="shared" si="79"/>
        <v>30.79082638888887</v>
      </c>
      <c r="F171" s="91">
        <v>50</v>
      </c>
      <c r="G171" s="94">
        <f t="shared" si="80"/>
        <v>2</v>
      </c>
      <c r="H171" s="91"/>
      <c r="I171" s="94">
        <f t="shared" si="81"/>
        <v>0</v>
      </c>
      <c r="J171" s="97">
        <f t="shared" si="72"/>
        <v>137.36215536918</v>
      </c>
      <c r="K171" s="92">
        <f t="shared" si="82"/>
        <v>1.4010024907254255</v>
      </c>
      <c r="L171" s="92">
        <f t="shared" si="73"/>
        <v>0</v>
      </c>
      <c r="M171" s="92">
        <f t="shared" si="83"/>
        <v>0</v>
      </c>
      <c r="N171" s="92">
        <f t="shared" si="74"/>
        <v>0.9893778786664511</v>
      </c>
      <c r="O171" s="92">
        <f t="shared" si="75"/>
        <v>481.1139104095099</v>
      </c>
      <c r="P171" s="91"/>
      <c r="Q171" s="92">
        <f t="shared" si="76"/>
        <v>0</v>
      </c>
      <c r="R171" s="92">
        <f t="shared" si="84"/>
        <v>0</v>
      </c>
      <c r="S171" s="92">
        <f t="shared" si="77"/>
        <v>0</v>
      </c>
      <c r="T171" s="92">
        <f t="shared" si="85"/>
        <v>0</v>
      </c>
    </row>
    <row r="172" spans="1:20" ht="21.75" customHeight="1">
      <c r="A172" s="71">
        <v>67</v>
      </c>
      <c r="B172" s="86">
        <f>B171+5180</f>
        <v>145050</v>
      </c>
      <c r="C172" s="92">
        <f t="shared" si="78"/>
        <v>495.05119453924914</v>
      </c>
      <c r="D172" s="92">
        <f t="shared" si="71"/>
        <v>2.0145833333333325</v>
      </c>
      <c r="E172" s="92">
        <f t="shared" si="79"/>
        <v>31.931145833333318</v>
      </c>
      <c r="F172" s="91">
        <v>70</v>
      </c>
      <c r="G172" s="94">
        <f t="shared" si="80"/>
        <v>2.8</v>
      </c>
      <c r="H172" s="91"/>
      <c r="I172" s="94">
        <f t="shared" si="81"/>
        <v>0</v>
      </c>
      <c r="J172" s="97">
        <f t="shared" si="72"/>
        <v>26.25859170027894</v>
      </c>
      <c r="K172" s="92">
        <f t="shared" si="82"/>
        <v>0.26782014504765844</v>
      </c>
      <c r="L172" s="92">
        <f t="shared" si="73"/>
        <v>0</v>
      </c>
      <c r="M172" s="92">
        <f t="shared" si="83"/>
        <v>0</v>
      </c>
      <c r="N172" s="92">
        <f t="shared" si="74"/>
        <v>0.5234790224325239</v>
      </c>
      <c r="O172" s="92">
        <f t="shared" si="75"/>
        <v>134.6858860245767</v>
      </c>
      <c r="P172" s="91"/>
      <c r="Q172" s="92">
        <f t="shared" si="76"/>
        <v>0</v>
      </c>
      <c r="R172" s="92">
        <f t="shared" si="84"/>
        <v>0</v>
      </c>
      <c r="S172" s="92">
        <f t="shared" si="77"/>
        <v>0</v>
      </c>
      <c r="T172" s="92">
        <f t="shared" si="85"/>
        <v>0</v>
      </c>
    </row>
    <row r="173" spans="1:20" ht="21.75" customHeight="1">
      <c r="A173" s="71">
        <v>68</v>
      </c>
      <c r="B173" s="86">
        <f>B172+1840</f>
        <v>146890</v>
      </c>
      <c r="C173" s="92">
        <f t="shared" si="78"/>
        <v>501.3310580204778</v>
      </c>
      <c r="D173" s="92">
        <f t="shared" si="71"/>
        <v>2.040138888888888</v>
      </c>
      <c r="E173" s="92">
        <f t="shared" si="79"/>
        <v>32.336201388888874</v>
      </c>
      <c r="F173" s="91">
        <v>70</v>
      </c>
      <c r="G173" s="94">
        <f t="shared" si="80"/>
        <v>2.8</v>
      </c>
      <c r="H173" s="91"/>
      <c r="I173" s="94">
        <f t="shared" si="81"/>
        <v>0</v>
      </c>
      <c r="J173" s="97">
        <f t="shared" si="72"/>
        <v>26.903033388827243</v>
      </c>
      <c r="K173" s="92">
        <f t="shared" si="82"/>
        <v>0.2743930210218079</v>
      </c>
      <c r="L173" s="92">
        <f t="shared" si="73"/>
        <v>0</v>
      </c>
      <c r="M173" s="92">
        <f t="shared" si="83"/>
        <v>0</v>
      </c>
      <c r="N173" s="92">
        <f t="shared" si="74"/>
        <v>0.5301195008970246</v>
      </c>
      <c r="O173" s="92">
        <f t="shared" si="75"/>
        <v>138.12461579118911</v>
      </c>
      <c r="P173" s="91"/>
      <c r="Q173" s="92">
        <f t="shared" si="76"/>
        <v>0</v>
      </c>
      <c r="R173" s="92">
        <f t="shared" si="84"/>
        <v>0</v>
      </c>
      <c r="S173" s="92">
        <f t="shared" si="77"/>
        <v>0</v>
      </c>
      <c r="T173" s="92">
        <f t="shared" si="85"/>
        <v>0</v>
      </c>
    </row>
    <row r="174" spans="1:20" ht="21.75" customHeight="1">
      <c r="A174" s="71">
        <v>69</v>
      </c>
      <c r="B174" s="86">
        <f>B173+5875</f>
        <v>152765</v>
      </c>
      <c r="C174" s="92">
        <f t="shared" si="78"/>
        <v>521.3822525597269</v>
      </c>
      <c r="D174" s="92">
        <f t="shared" si="71"/>
        <v>2.12173611111111</v>
      </c>
      <c r="E174" s="92">
        <f t="shared" si="79"/>
        <v>33.62951736111109</v>
      </c>
      <c r="F174" s="91">
        <v>70</v>
      </c>
      <c r="G174" s="94">
        <f t="shared" si="80"/>
        <v>2.8</v>
      </c>
      <c r="H174" s="91"/>
      <c r="I174" s="94">
        <f t="shared" si="81"/>
        <v>0</v>
      </c>
      <c r="J174" s="97">
        <f t="shared" si="72"/>
        <v>29.01240493258502</v>
      </c>
      <c r="K174" s="92">
        <f t="shared" si="82"/>
        <v>0.29590720576015433</v>
      </c>
      <c r="L174" s="92">
        <f t="shared" si="73"/>
        <v>0</v>
      </c>
      <c r="M174" s="92">
        <f t="shared" si="83"/>
        <v>0</v>
      </c>
      <c r="N174" s="92">
        <f t="shared" si="74"/>
        <v>0.5513221155594933</v>
      </c>
      <c r="O174" s="92">
        <f t="shared" si="75"/>
        <v>149.39441091410518</v>
      </c>
      <c r="P174" s="91"/>
      <c r="Q174" s="92">
        <f t="shared" si="76"/>
        <v>0</v>
      </c>
      <c r="R174" s="92">
        <f t="shared" si="84"/>
        <v>0</v>
      </c>
      <c r="S174" s="92">
        <f t="shared" si="77"/>
        <v>0</v>
      </c>
      <c r="T174" s="92">
        <f t="shared" si="85"/>
        <v>0</v>
      </c>
    </row>
    <row r="175" spans="1:20" ht="21.75" customHeight="1">
      <c r="A175" s="71">
        <v>70</v>
      </c>
      <c r="B175" s="86">
        <f>B174+6660</f>
        <v>159425</v>
      </c>
      <c r="C175" s="92">
        <f t="shared" si="78"/>
        <v>544.1126279863481</v>
      </c>
      <c r="D175" s="92">
        <f t="shared" si="71"/>
        <v>2.2142361111111097</v>
      </c>
      <c r="E175" s="92">
        <f t="shared" si="79"/>
        <v>35.09564236111109</v>
      </c>
      <c r="F175" s="91">
        <v>70</v>
      </c>
      <c r="G175" s="94">
        <f t="shared" si="80"/>
        <v>2.8</v>
      </c>
      <c r="H175" s="91"/>
      <c r="I175" s="94">
        <f t="shared" si="81"/>
        <v>0</v>
      </c>
      <c r="J175" s="97">
        <f t="shared" si="72"/>
        <v>31.498854427735687</v>
      </c>
      <c r="K175" s="92">
        <f t="shared" si="82"/>
        <v>0.32126733443902233</v>
      </c>
      <c r="L175" s="92">
        <f t="shared" si="73"/>
        <v>0</v>
      </c>
      <c r="M175" s="92">
        <f t="shared" si="83"/>
        <v>0</v>
      </c>
      <c r="N175" s="92">
        <f t="shared" si="74"/>
        <v>0.5753577604364364</v>
      </c>
      <c r="O175" s="92">
        <f t="shared" si="75"/>
        <v>162.7044655510132</v>
      </c>
      <c r="P175" s="91"/>
      <c r="Q175" s="92">
        <f t="shared" si="76"/>
        <v>0</v>
      </c>
      <c r="R175" s="92">
        <f t="shared" si="84"/>
        <v>0</v>
      </c>
      <c r="S175" s="92">
        <f t="shared" si="77"/>
        <v>0</v>
      </c>
      <c r="T175" s="92">
        <f t="shared" si="85"/>
        <v>0</v>
      </c>
    </row>
    <row r="176" spans="1:20" ht="21.75" customHeight="1">
      <c r="A176" s="71">
        <v>71</v>
      </c>
      <c r="B176" s="86">
        <f>B175+4700</f>
        <v>164125</v>
      </c>
      <c r="C176" s="92">
        <f t="shared" si="78"/>
        <v>560.1535836177475</v>
      </c>
      <c r="D176" s="92">
        <f t="shared" si="71"/>
        <v>2.279513888888888</v>
      </c>
      <c r="E176" s="92">
        <f t="shared" si="79"/>
        <v>36.130295138888876</v>
      </c>
      <c r="F176" s="91">
        <v>70</v>
      </c>
      <c r="G176" s="94">
        <f t="shared" si="80"/>
        <v>2.8</v>
      </c>
      <c r="H176" s="91"/>
      <c r="I176" s="94">
        <f t="shared" si="81"/>
        <v>0</v>
      </c>
      <c r="J176" s="97">
        <f t="shared" si="72"/>
        <v>33.31445074566851</v>
      </c>
      <c r="K176" s="92">
        <f t="shared" si="82"/>
        <v>0.3397852075514481</v>
      </c>
      <c r="L176" s="92">
        <f t="shared" si="73"/>
        <v>0</v>
      </c>
      <c r="M176" s="92">
        <f t="shared" si="83"/>
        <v>0</v>
      </c>
      <c r="N176" s="92">
        <f t="shared" si="74"/>
        <v>0.5923198521664114</v>
      </c>
      <c r="O176" s="92">
        <f t="shared" si="75"/>
        <v>172.43923977342098</v>
      </c>
      <c r="P176" s="91"/>
      <c r="Q176" s="92">
        <f t="shared" si="76"/>
        <v>0</v>
      </c>
      <c r="R176" s="92">
        <f t="shared" si="84"/>
        <v>0</v>
      </c>
      <c r="S176" s="92">
        <f t="shared" si="77"/>
        <v>0</v>
      </c>
      <c r="T176" s="92">
        <f t="shared" si="85"/>
        <v>0</v>
      </c>
    </row>
    <row r="177" spans="1:20" ht="21.75" customHeight="1">
      <c r="A177" s="71">
        <v>72</v>
      </c>
      <c r="B177" s="86">
        <f>B176+5440</f>
        <v>169565</v>
      </c>
      <c r="C177" s="92">
        <f t="shared" si="78"/>
        <v>578.7201365187714</v>
      </c>
      <c r="D177" s="92">
        <f t="shared" si="71"/>
        <v>2.355069444444443</v>
      </c>
      <c r="E177" s="92">
        <f t="shared" si="79"/>
        <v>37.32785069444442</v>
      </c>
      <c r="F177" s="91">
        <v>70</v>
      </c>
      <c r="G177" s="94">
        <f t="shared" si="80"/>
        <v>2.8</v>
      </c>
      <c r="H177" s="91"/>
      <c r="I177" s="94">
        <f t="shared" si="81"/>
        <v>0</v>
      </c>
      <c r="J177" s="97">
        <f t="shared" si="72"/>
        <v>35.478810860636806</v>
      </c>
      <c r="K177" s="92">
        <f t="shared" si="82"/>
        <v>0.36186023908941206</v>
      </c>
      <c r="L177" s="92">
        <f t="shared" si="73"/>
        <v>0</v>
      </c>
      <c r="M177" s="92">
        <f t="shared" si="83"/>
        <v>0</v>
      </c>
      <c r="N177" s="92">
        <f t="shared" si="74"/>
        <v>0.6119525711049354</v>
      </c>
      <c r="O177" s="92">
        <f t="shared" si="75"/>
        <v>184.05984407207401</v>
      </c>
      <c r="P177" s="91"/>
      <c r="Q177" s="92">
        <f t="shared" si="76"/>
        <v>0</v>
      </c>
      <c r="R177" s="92">
        <f t="shared" si="84"/>
        <v>0</v>
      </c>
      <c r="S177" s="92">
        <f t="shared" si="77"/>
        <v>0</v>
      </c>
      <c r="T177" s="92">
        <f t="shared" si="85"/>
        <v>0</v>
      </c>
    </row>
    <row r="178" spans="1:20" ht="21.75" customHeight="1">
      <c r="A178" s="71">
        <v>73</v>
      </c>
      <c r="B178" s="86">
        <f>B177+1627</f>
        <v>171192</v>
      </c>
      <c r="C178" s="92">
        <f t="shared" si="78"/>
        <v>584.2730375426621</v>
      </c>
      <c r="D178" s="92">
        <f t="shared" si="71"/>
        <v>2.377666666666665</v>
      </c>
      <c r="E178" s="92">
        <f t="shared" si="79"/>
        <v>37.68601666666664</v>
      </c>
      <c r="F178" s="91">
        <v>70</v>
      </c>
      <c r="G178" s="94">
        <f t="shared" si="80"/>
        <v>2.8</v>
      </c>
      <c r="H178" s="91"/>
      <c r="I178" s="94">
        <f t="shared" si="81"/>
        <v>0</v>
      </c>
      <c r="J178" s="97">
        <f t="shared" si="72"/>
        <v>36.13924023174752</v>
      </c>
      <c r="K178" s="92">
        <f t="shared" si="82"/>
        <v>0.36859617877663936</v>
      </c>
      <c r="L178" s="92">
        <f t="shared" si="73"/>
        <v>0</v>
      </c>
      <c r="M178" s="92">
        <f t="shared" si="83"/>
        <v>0</v>
      </c>
      <c r="N178" s="92">
        <f t="shared" si="74"/>
        <v>0.6178243420080566</v>
      </c>
      <c r="O178" s="92">
        <f t="shared" si="75"/>
        <v>187.60894998943368</v>
      </c>
      <c r="P178" s="91"/>
      <c r="Q178" s="92">
        <f t="shared" si="76"/>
        <v>0</v>
      </c>
      <c r="R178" s="92">
        <f t="shared" si="84"/>
        <v>0</v>
      </c>
      <c r="S178" s="92">
        <f t="shared" si="77"/>
        <v>0</v>
      </c>
      <c r="T178" s="92">
        <f t="shared" si="85"/>
        <v>0</v>
      </c>
    </row>
    <row r="179" spans="1:20" ht="21.75" customHeight="1">
      <c r="A179" s="71">
        <v>74</v>
      </c>
      <c r="B179" s="86">
        <f>B178+3456</f>
        <v>174648</v>
      </c>
      <c r="C179" s="92">
        <f t="shared" si="78"/>
        <v>596.0682593856656</v>
      </c>
      <c r="D179" s="92">
        <f t="shared" si="71"/>
        <v>2.4256666666666655</v>
      </c>
      <c r="E179" s="92">
        <f t="shared" si="79"/>
        <v>38.44681666666665</v>
      </c>
      <c r="F179" s="91">
        <v>70</v>
      </c>
      <c r="G179" s="94">
        <f t="shared" si="80"/>
        <v>2.8</v>
      </c>
      <c r="H179" s="91"/>
      <c r="I179" s="94">
        <f t="shared" si="81"/>
        <v>0</v>
      </c>
      <c r="J179" s="97">
        <f t="shared" si="72"/>
        <v>37.56212362877894</v>
      </c>
      <c r="K179" s="92">
        <f t="shared" si="82"/>
        <v>0.38310864167368086</v>
      </c>
      <c r="L179" s="92">
        <f t="shared" si="73"/>
        <v>0</v>
      </c>
      <c r="M179" s="92">
        <f t="shared" si="83"/>
        <v>0</v>
      </c>
      <c r="N179" s="92">
        <f t="shared" si="74"/>
        <v>0.6302968928631191</v>
      </c>
      <c r="O179" s="92">
        <f t="shared" si="75"/>
        <v>195.26025610465143</v>
      </c>
      <c r="P179" s="91"/>
      <c r="Q179" s="92">
        <f t="shared" si="76"/>
        <v>0</v>
      </c>
      <c r="R179" s="92">
        <f t="shared" si="84"/>
        <v>0</v>
      </c>
      <c r="S179" s="92">
        <f t="shared" si="77"/>
        <v>0</v>
      </c>
      <c r="T179" s="92">
        <f t="shared" si="85"/>
        <v>0</v>
      </c>
    </row>
    <row r="180" spans="1:20" ht="21.75" customHeight="1">
      <c r="A180" s="71">
        <v>75</v>
      </c>
      <c r="B180" s="86">
        <f>B179+4927</f>
        <v>179575</v>
      </c>
      <c r="C180" s="92">
        <f t="shared" si="78"/>
        <v>612.8839590443686</v>
      </c>
      <c r="D180" s="92">
        <f t="shared" si="71"/>
        <v>2.4940972222222206</v>
      </c>
      <c r="E180" s="92">
        <f t="shared" si="79"/>
        <v>39.5314409722222</v>
      </c>
      <c r="F180" s="91">
        <v>70</v>
      </c>
      <c r="G180" s="94">
        <f t="shared" si="80"/>
        <v>2.8</v>
      </c>
      <c r="H180" s="91"/>
      <c r="I180" s="94">
        <f t="shared" si="81"/>
        <v>0</v>
      </c>
      <c r="J180" s="97">
        <f t="shared" si="72"/>
        <v>39.63772738278236</v>
      </c>
      <c r="K180" s="92">
        <f t="shared" si="82"/>
        <v>0.4042784174485467</v>
      </c>
      <c r="L180" s="92">
        <f t="shared" si="73"/>
        <v>0</v>
      </c>
      <c r="M180" s="92">
        <f t="shared" si="83"/>
        <v>0</v>
      </c>
      <c r="N180" s="92">
        <f t="shared" si="74"/>
        <v>0.6480782175340948</v>
      </c>
      <c r="O180" s="92">
        <f t="shared" si="75"/>
        <v>206.4326423247263</v>
      </c>
      <c r="P180" s="91"/>
      <c r="Q180" s="92">
        <f t="shared" si="76"/>
        <v>0</v>
      </c>
      <c r="R180" s="92">
        <f t="shared" si="84"/>
        <v>0</v>
      </c>
      <c r="S180" s="92">
        <f t="shared" si="77"/>
        <v>0</v>
      </c>
      <c r="T180" s="92">
        <f t="shared" si="85"/>
        <v>0</v>
      </c>
    </row>
    <row r="181" spans="1:20" ht="21.75" customHeight="1">
      <c r="A181" s="71"/>
      <c r="B181" s="86"/>
      <c r="C181" s="92"/>
      <c r="D181" s="92"/>
      <c r="E181" s="92"/>
      <c r="F181" s="91"/>
      <c r="G181" s="94"/>
      <c r="H181" s="91"/>
      <c r="I181" s="94"/>
      <c r="J181" s="97"/>
      <c r="K181" s="92"/>
      <c r="L181" s="92"/>
      <c r="M181" s="92"/>
      <c r="N181" s="92"/>
      <c r="O181" s="92"/>
      <c r="P181" s="91"/>
      <c r="Q181" s="92"/>
      <c r="R181" s="92"/>
      <c r="S181" s="92"/>
      <c r="T181" s="92"/>
    </row>
    <row r="182" spans="1:20" ht="21.75" customHeight="1">
      <c r="A182" s="114" t="s">
        <v>119</v>
      </c>
      <c r="B182" s="77"/>
      <c r="C182" s="77"/>
      <c r="D182" s="73"/>
      <c r="E182" s="73"/>
      <c r="F182" s="72"/>
      <c r="G182" s="72"/>
      <c r="H182" s="72"/>
      <c r="I182" s="72"/>
      <c r="J182" s="97"/>
      <c r="K182" s="73"/>
      <c r="L182" s="73"/>
      <c r="M182" s="73"/>
      <c r="N182" s="74"/>
      <c r="O182" s="73"/>
      <c r="P182" s="72"/>
      <c r="Q182" s="73"/>
      <c r="R182" s="73"/>
      <c r="S182" s="75">
        <f>L182+Q182</f>
        <v>0</v>
      </c>
      <c r="T182" s="92"/>
    </row>
    <row r="183" spans="1:20" ht="21.75" customHeight="1">
      <c r="A183" s="114"/>
      <c r="B183" s="77"/>
      <c r="C183" s="77"/>
      <c r="D183" s="73"/>
      <c r="E183" s="73"/>
      <c r="F183" s="72"/>
      <c r="G183" s="72"/>
      <c r="H183" s="72"/>
      <c r="I183" s="72"/>
      <c r="J183" s="97"/>
      <c r="K183" s="73"/>
      <c r="L183" s="73"/>
      <c r="M183" s="73"/>
      <c r="N183" s="74"/>
      <c r="O183" s="73"/>
      <c r="P183" s="72"/>
      <c r="Q183" s="73"/>
      <c r="R183" s="73"/>
      <c r="S183" s="75">
        <f>L183+Q183</f>
        <v>0</v>
      </c>
      <c r="T183" s="92"/>
    </row>
    <row r="184" spans="1:20" ht="21.75" customHeight="1">
      <c r="A184" s="78"/>
      <c r="D184" s="76"/>
      <c r="E184" s="76"/>
      <c r="F184" s="79"/>
      <c r="G184" s="79"/>
      <c r="H184" s="79"/>
      <c r="I184" s="79"/>
      <c r="J184" s="98"/>
      <c r="K184" s="76"/>
      <c r="L184" s="80"/>
      <c r="M184" s="80"/>
      <c r="N184" s="81"/>
      <c r="O184" s="76"/>
      <c r="P184" s="79"/>
      <c r="Q184" s="76"/>
      <c r="R184" s="76"/>
      <c r="S184" s="82">
        <f>SUM(S182:S183)</f>
        <v>0</v>
      </c>
      <c r="T184" s="76"/>
    </row>
    <row r="185" spans="1:20" ht="21.75" customHeight="1">
      <c r="A185" s="78"/>
      <c r="D185" s="76"/>
      <c r="E185" s="76"/>
      <c r="F185" s="79"/>
      <c r="G185" s="79"/>
      <c r="H185" s="79"/>
      <c r="I185" s="79"/>
      <c r="J185" s="98"/>
      <c r="K185" s="76"/>
      <c r="L185" s="80"/>
      <c r="M185" s="80"/>
      <c r="N185" s="81"/>
      <c r="O185" s="76"/>
      <c r="P185" s="83" t="s">
        <v>118</v>
      </c>
      <c r="Q185" s="76"/>
      <c r="R185" s="76"/>
      <c r="S185" s="82" t="e">
        <f>S184+#REF!</f>
        <v>#REF!</v>
      </c>
      <c r="T185" s="76"/>
    </row>
    <row r="186" spans="2:9" ht="21.75" customHeight="1">
      <c r="B186" s="107"/>
      <c r="C186" s="107"/>
      <c r="D186" s="107"/>
      <c r="E186" s="107"/>
      <c r="F186" s="107"/>
      <c r="G186" s="107"/>
      <c r="H186" s="107"/>
      <c r="I186" s="84"/>
    </row>
    <row r="187" spans="1:19" ht="21.75" customHeight="1">
      <c r="A187" s="63"/>
      <c r="B187" s="63"/>
      <c r="C187" s="63"/>
      <c r="F187" s="63"/>
      <c r="G187" s="63"/>
      <c r="H187" s="63"/>
      <c r="I187" s="63"/>
      <c r="P187" s="63"/>
      <c r="S187" s="63"/>
    </row>
    <row r="188" spans="1:19" ht="21.75" customHeight="1">
      <c r="A188" s="63"/>
      <c r="B188" s="63"/>
      <c r="C188" s="63"/>
      <c r="F188" s="63"/>
      <c r="G188" s="63"/>
      <c r="H188" s="63"/>
      <c r="I188" s="63"/>
      <c r="P188" s="63"/>
      <c r="S188" s="63"/>
    </row>
    <row r="189" spans="1:19" ht="21.75" customHeight="1">
      <c r="A189" s="63"/>
      <c r="B189" s="63"/>
      <c r="C189" s="63"/>
      <c r="F189" s="63"/>
      <c r="G189" s="63"/>
      <c r="H189" s="63"/>
      <c r="I189" s="63"/>
      <c r="P189" s="63"/>
      <c r="S189" s="63"/>
    </row>
    <row r="190" spans="1:19" ht="21.75" customHeight="1">
      <c r="A190" s="63"/>
      <c r="B190" s="63"/>
      <c r="C190" s="63"/>
      <c r="F190" s="63"/>
      <c r="G190" s="63"/>
      <c r="H190" s="63"/>
      <c r="I190" s="63"/>
      <c r="P190" s="63"/>
      <c r="S190" s="63"/>
    </row>
    <row r="191" spans="1:19" ht="15.75">
      <c r="A191" s="63"/>
      <c r="B191" s="63"/>
      <c r="C191" s="63"/>
      <c r="F191" s="63"/>
      <c r="G191" s="63"/>
      <c r="H191" s="63"/>
      <c r="I191" s="63"/>
      <c r="P191" s="63"/>
      <c r="S191" s="63"/>
    </row>
    <row r="192" spans="1:19" ht="15.75">
      <c r="A192" s="63"/>
      <c r="B192" s="63"/>
      <c r="C192" s="63"/>
      <c r="F192" s="63"/>
      <c r="G192" s="63"/>
      <c r="H192" s="63"/>
      <c r="I192" s="63"/>
      <c r="P192" s="63"/>
      <c r="S192" s="63"/>
    </row>
    <row r="193" s="63" customFormat="1" ht="15.75">
      <c r="J193" s="95"/>
    </row>
    <row r="194" s="63" customFormat="1" ht="15.75">
      <c r="J194" s="95"/>
    </row>
    <row r="195" s="63" customFormat="1" ht="15.75">
      <c r="J195" s="95"/>
    </row>
    <row r="196" s="63" customFormat="1" ht="15.75">
      <c r="J196" s="95"/>
    </row>
    <row r="197" s="63" customFormat="1" ht="15.75">
      <c r="J197" s="95"/>
    </row>
    <row r="198" s="63" customFormat="1" ht="15.75">
      <c r="J198" s="95"/>
    </row>
    <row r="199" s="63" customFormat="1" ht="15.75">
      <c r="J199" s="95"/>
    </row>
    <row r="200" s="63" customFormat="1" ht="15.75">
      <c r="J200" s="95"/>
    </row>
    <row r="201" s="63" customFormat="1" ht="15.75">
      <c r="J201" s="95"/>
    </row>
    <row r="202" s="63" customFormat="1" ht="15.75">
      <c r="J202" s="95"/>
    </row>
    <row r="203" s="63" customFormat="1" ht="15.75">
      <c r="J203" s="95"/>
    </row>
    <row r="204" s="63" customFormat="1" ht="15.75">
      <c r="J204" s="95"/>
    </row>
    <row r="205" s="63" customFormat="1" ht="15.75">
      <c r="J205" s="95"/>
    </row>
    <row r="206" s="63" customFormat="1" ht="15.75">
      <c r="J206" s="95"/>
    </row>
    <row r="207" s="63" customFormat="1" ht="15.75">
      <c r="J207" s="95"/>
    </row>
    <row r="208" s="63" customFormat="1" ht="19.5" customHeight="1">
      <c r="J208" s="95"/>
    </row>
    <row r="209" s="63" customFormat="1" ht="19.5" customHeight="1">
      <c r="J209" s="95"/>
    </row>
    <row r="210" s="63" customFormat="1" ht="19.5" customHeight="1">
      <c r="J210" s="95"/>
    </row>
    <row r="211" s="63" customFormat="1" ht="19.5" customHeight="1">
      <c r="J211" s="95"/>
    </row>
    <row r="212" s="63" customFormat="1" ht="19.5" customHeight="1">
      <c r="J212" s="95"/>
    </row>
    <row r="213" s="63" customFormat="1" ht="19.5" customHeight="1">
      <c r="J213" s="95"/>
    </row>
    <row r="214" s="63" customFormat="1" ht="19.5" customHeight="1">
      <c r="J214" s="95"/>
    </row>
    <row r="215" s="63" customFormat="1" ht="15.75">
      <c r="J215" s="95"/>
    </row>
    <row r="216" s="63" customFormat="1" ht="15.75">
      <c r="J216" s="95"/>
    </row>
    <row r="217" s="63" customFormat="1" ht="15.75">
      <c r="J217" s="95"/>
    </row>
    <row r="218" s="63" customFormat="1" ht="15.75">
      <c r="J218" s="95"/>
    </row>
    <row r="219" s="63" customFormat="1" ht="15.75">
      <c r="J219" s="95"/>
    </row>
    <row r="220" s="63" customFormat="1" ht="15.75">
      <c r="J220" s="95"/>
    </row>
    <row r="221" s="63" customFormat="1" ht="15.75">
      <c r="J221" s="95"/>
    </row>
    <row r="222" s="63" customFormat="1" ht="15.75">
      <c r="J222" s="95"/>
    </row>
    <row r="223" s="63" customFormat="1" ht="15.75">
      <c r="J223" s="95"/>
    </row>
    <row r="224" s="63" customFormat="1" ht="15.75">
      <c r="J224" s="95"/>
    </row>
    <row r="225" s="63" customFormat="1" ht="15.75">
      <c r="J225" s="95"/>
    </row>
    <row r="226" s="63" customFormat="1" ht="15.75">
      <c r="J226" s="95"/>
    </row>
    <row r="227" s="63" customFormat="1" ht="15.75">
      <c r="J227" s="95"/>
    </row>
    <row r="228" s="63" customFormat="1" ht="15.75">
      <c r="J228" s="95"/>
    </row>
    <row r="229" s="63" customFormat="1" ht="15.75">
      <c r="J229" s="95"/>
    </row>
    <row r="230" s="63" customFormat="1" ht="15.75">
      <c r="J230" s="95"/>
    </row>
    <row r="231" s="63" customFormat="1" ht="15.75">
      <c r="J231" s="95"/>
    </row>
    <row r="232" s="63" customFormat="1" ht="15.75">
      <c r="J232" s="95"/>
    </row>
    <row r="233" s="63" customFormat="1" ht="15.75">
      <c r="J233" s="95"/>
    </row>
    <row r="234" s="63" customFormat="1" ht="15.75">
      <c r="J234" s="95"/>
    </row>
    <row r="235" s="63" customFormat="1" ht="15.75">
      <c r="J235" s="95"/>
    </row>
    <row r="236" s="63" customFormat="1" ht="15.75">
      <c r="J236" s="95"/>
    </row>
    <row r="237" s="63" customFormat="1" ht="15.75">
      <c r="J237" s="95"/>
    </row>
    <row r="238" s="63" customFormat="1" ht="15.75">
      <c r="J238" s="95"/>
    </row>
    <row r="239" s="63" customFormat="1" ht="15.75">
      <c r="J239" s="95"/>
    </row>
    <row r="240" s="63" customFormat="1" ht="15.75">
      <c r="J240" s="95"/>
    </row>
    <row r="241" s="63" customFormat="1" ht="15.75">
      <c r="J241" s="95"/>
    </row>
    <row r="242" s="63" customFormat="1" ht="15.75">
      <c r="J242" s="95"/>
    </row>
    <row r="243" s="63" customFormat="1" ht="15.75">
      <c r="J243" s="95"/>
    </row>
    <row r="244" s="63" customFormat="1" ht="15.75">
      <c r="J244" s="95"/>
    </row>
    <row r="245" s="63" customFormat="1" ht="15.75">
      <c r="J245" s="95"/>
    </row>
    <row r="246" s="63" customFormat="1" ht="15.75">
      <c r="J246" s="95"/>
    </row>
    <row r="247" s="63" customFormat="1" ht="15.75">
      <c r="J247" s="95"/>
    </row>
    <row r="248" s="63" customFormat="1" ht="15.75">
      <c r="J248" s="95"/>
    </row>
    <row r="249" s="63" customFormat="1" ht="15.75">
      <c r="J249" s="95"/>
    </row>
    <row r="250" s="63" customFormat="1" ht="15.75">
      <c r="J250" s="95"/>
    </row>
    <row r="251" s="63" customFormat="1" ht="15.75">
      <c r="J251" s="95"/>
    </row>
    <row r="252" s="63" customFormat="1" ht="15.75">
      <c r="J252" s="95"/>
    </row>
    <row r="253" s="63" customFormat="1" ht="15.75">
      <c r="J253" s="95"/>
    </row>
    <row r="254" s="63" customFormat="1" ht="15.75">
      <c r="J254" s="95"/>
    </row>
    <row r="255" s="63" customFormat="1" ht="15.75">
      <c r="J255" s="95"/>
    </row>
    <row r="256" s="63" customFormat="1" ht="15.75">
      <c r="J256" s="95"/>
    </row>
    <row r="257" s="63" customFormat="1" ht="15.75">
      <c r="J257" s="95"/>
    </row>
  </sheetData>
  <sheetProtection/>
  <mergeCells count="14">
    <mergeCell ref="A2:T2"/>
    <mergeCell ref="A8:A9"/>
    <mergeCell ref="F8:F9"/>
    <mergeCell ref="H8:H9"/>
    <mergeCell ref="J8:J9"/>
    <mergeCell ref="L8:L9"/>
    <mergeCell ref="N8:N9"/>
    <mergeCell ref="O8:O9"/>
    <mergeCell ref="B186:H186"/>
    <mergeCell ref="Q8:Q9"/>
    <mergeCell ref="S8:S9"/>
    <mergeCell ref="P8:P9"/>
    <mergeCell ref="B8:E8"/>
    <mergeCell ref="A182:A183"/>
  </mergeCells>
  <printOptions/>
  <pageMargins left="1.34" right="0.7480314960629921" top="0.43" bottom="0.5511811023622047" header="0.35433070866141736" footer="0.35433070866141736"/>
  <pageSetup horizontalDpi="300" verticalDpi="300" orientation="landscape" paperSize="9" scale="9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zoomScaleSheetLayoutView="100" zoomScalePageLayoutView="0" workbookViewId="0" topLeftCell="A1">
      <selection activeCell="A23" sqref="A23:N36"/>
    </sheetView>
  </sheetViews>
  <sheetFormatPr defaultColWidth="9.00390625" defaultRowHeight="18" customHeight="1"/>
  <cols>
    <col min="1" max="1" width="6.25390625" style="0" customWidth="1"/>
    <col min="2" max="3" width="7.75390625" style="0" customWidth="1"/>
    <col min="4" max="4" width="7.625" style="0" customWidth="1"/>
    <col min="5" max="5" width="8.00390625" style="0" customWidth="1"/>
    <col min="6" max="6" width="8.25390625" style="0" customWidth="1"/>
    <col min="7" max="8" width="6.375" style="0" customWidth="1"/>
    <col min="9" max="9" width="6.875" style="0" customWidth="1"/>
    <col min="10" max="10" width="7.125" style="0" customWidth="1"/>
    <col min="11" max="11" width="6.875" style="0" customWidth="1"/>
    <col min="12" max="12" width="7.50390625" style="0" customWidth="1"/>
    <col min="13" max="13" width="9.625" style="0" customWidth="1"/>
    <col min="14" max="14" width="20.625" style="0" customWidth="1"/>
  </cols>
  <sheetData>
    <row r="1" ht="18" customHeight="1" thickBot="1"/>
    <row r="2" spans="1:14" ht="18" customHeight="1">
      <c r="A2" s="14"/>
      <c r="B2" s="119" t="s">
        <v>31</v>
      </c>
      <c r="C2" s="119"/>
      <c r="D2" s="119"/>
      <c r="E2" s="119"/>
      <c r="F2" s="119"/>
      <c r="G2" s="2" t="s">
        <v>2</v>
      </c>
      <c r="H2" s="2" t="s">
        <v>0</v>
      </c>
      <c r="I2" s="2" t="s">
        <v>6</v>
      </c>
      <c r="J2" s="2" t="s">
        <v>8</v>
      </c>
      <c r="K2" s="2" t="s">
        <v>10</v>
      </c>
      <c r="L2" s="2" t="s">
        <v>11</v>
      </c>
      <c r="M2" s="2" t="s">
        <v>13</v>
      </c>
      <c r="N2" s="1"/>
    </row>
    <row r="3" spans="1:14" ht="18" customHeight="1">
      <c r="A3" s="3" t="s">
        <v>4</v>
      </c>
      <c r="B3" s="24" t="s">
        <v>16</v>
      </c>
      <c r="C3" s="24" t="s">
        <v>95</v>
      </c>
      <c r="D3" s="24" t="s">
        <v>35</v>
      </c>
      <c r="E3" s="13" t="s">
        <v>61</v>
      </c>
      <c r="F3" s="13" t="s">
        <v>63</v>
      </c>
      <c r="G3" s="5" t="s">
        <v>3</v>
      </c>
      <c r="H3" s="5" t="s">
        <v>1</v>
      </c>
      <c r="I3" s="5" t="s">
        <v>7</v>
      </c>
      <c r="J3" s="5" t="s">
        <v>9</v>
      </c>
      <c r="K3" s="5" t="s">
        <v>14</v>
      </c>
      <c r="L3" s="5" t="s">
        <v>12</v>
      </c>
      <c r="M3" s="5" t="s">
        <v>14</v>
      </c>
      <c r="N3" s="12" t="s">
        <v>17</v>
      </c>
    </row>
    <row r="4" spans="1:14" ht="18" customHeight="1">
      <c r="A4" s="6" t="s">
        <v>5</v>
      </c>
      <c r="B4" s="4">
        <v>6</v>
      </c>
      <c r="C4" s="4">
        <v>0.5</v>
      </c>
      <c r="D4" s="4">
        <v>1</v>
      </c>
      <c r="E4" s="4">
        <v>1</v>
      </c>
      <c r="F4" s="25">
        <v>1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15"/>
    </row>
    <row r="5" spans="1:14" ht="18" customHeight="1">
      <c r="A5" s="26" t="s">
        <v>36</v>
      </c>
      <c r="B5" s="8">
        <v>1</v>
      </c>
      <c r="C5" s="8">
        <v>0</v>
      </c>
      <c r="D5" s="8">
        <v>0</v>
      </c>
      <c r="E5" s="8">
        <v>0</v>
      </c>
      <c r="F5" s="8">
        <v>0</v>
      </c>
      <c r="G5" s="7">
        <f>B5*B4+C5*C4+D5*D4+E5*E4+F5*F4</f>
        <v>6</v>
      </c>
      <c r="H5" s="7">
        <f>0.2*(G5^0.5)+1.2</f>
        <v>1.6898979485566357</v>
      </c>
      <c r="I5" s="7">
        <v>27</v>
      </c>
      <c r="J5" s="7">
        <f>4000*H5/(3.14*I5^2)</f>
        <v>2.952998957749706</v>
      </c>
      <c r="K5" s="7">
        <f>0.000915*((H5/1000)^1.774/(I5/1000)^4.774)*1000</f>
        <v>340.6551612234403</v>
      </c>
      <c r="L5" s="7">
        <v>2.7</v>
      </c>
      <c r="M5" s="7">
        <f>L5*K5</f>
        <v>919.7689353032889</v>
      </c>
      <c r="N5" s="16" t="s">
        <v>27</v>
      </c>
    </row>
    <row r="6" spans="1:14" ht="18" customHeight="1">
      <c r="A6" s="27" t="s">
        <v>37</v>
      </c>
      <c r="B6" s="8">
        <v>2</v>
      </c>
      <c r="C6" s="8">
        <v>0</v>
      </c>
      <c r="D6" s="8">
        <v>0</v>
      </c>
      <c r="E6" s="8">
        <v>0</v>
      </c>
      <c r="F6" s="8">
        <v>0</v>
      </c>
      <c r="G6" s="7">
        <f>B6*B4+C6*C4+D6*D4+E6*E4+F6*F4</f>
        <v>12</v>
      </c>
      <c r="H6" s="7">
        <f aca="true" t="shared" si="0" ref="H6:H14">0.2*(G6^0.5)+1.2</f>
        <v>1.8928203230275509</v>
      </c>
      <c r="I6" s="7">
        <v>43</v>
      </c>
      <c r="J6" s="7">
        <f aca="true" t="shared" si="1" ref="J6:J20">4000*H6/(3.14*I6^2)</f>
        <v>1.3040757600269732</v>
      </c>
      <c r="K6" s="7">
        <f aca="true" t="shared" si="2" ref="K6:K20">0.000915*((H6/1000)^1.774/(I6/1000)^4.774)*1000</f>
        <v>45.168404022360015</v>
      </c>
      <c r="L6" s="7">
        <v>1</v>
      </c>
      <c r="M6" s="7">
        <f aca="true" t="shared" si="3" ref="M6:M20">L6*K6</f>
        <v>45.168404022360015</v>
      </c>
      <c r="N6" s="16" t="s">
        <v>25</v>
      </c>
    </row>
    <row r="7" spans="1:14" ht="18" customHeight="1">
      <c r="A7" s="27" t="s">
        <v>38</v>
      </c>
      <c r="B7" s="8">
        <v>3</v>
      </c>
      <c r="C7" s="8">
        <v>0</v>
      </c>
      <c r="D7" s="8">
        <v>0</v>
      </c>
      <c r="E7" s="8">
        <v>0</v>
      </c>
      <c r="F7" s="8">
        <v>0</v>
      </c>
      <c r="G7" s="7">
        <f>B7*B4+C7*C4+D7*D4+E7*E4+F7*F4</f>
        <v>18</v>
      </c>
      <c r="H7" s="7">
        <f t="shared" si="0"/>
        <v>2.048528137423857</v>
      </c>
      <c r="I7" s="7">
        <v>43</v>
      </c>
      <c r="J7" s="7">
        <f t="shared" si="1"/>
        <v>1.41135207354215</v>
      </c>
      <c r="K7" s="7">
        <f t="shared" si="2"/>
        <v>51.96855930070998</v>
      </c>
      <c r="L7" s="7">
        <v>1</v>
      </c>
      <c r="M7" s="7">
        <f t="shared" si="3"/>
        <v>51.96855930070998</v>
      </c>
      <c r="N7" s="17" t="s">
        <v>62</v>
      </c>
    </row>
    <row r="8" spans="1:14" ht="18" customHeight="1">
      <c r="A8" s="28" t="s">
        <v>39</v>
      </c>
      <c r="B8" s="8">
        <v>4</v>
      </c>
      <c r="C8" s="8">
        <v>0</v>
      </c>
      <c r="D8" s="8">
        <v>0</v>
      </c>
      <c r="E8" s="8">
        <v>0</v>
      </c>
      <c r="F8" s="8">
        <v>0</v>
      </c>
      <c r="G8" s="7">
        <f>B8*B4+C8*C4+D8*D4+E8*E4+F8*F4</f>
        <v>24</v>
      </c>
      <c r="H8" s="7">
        <f t="shared" si="0"/>
        <v>2.179795897113271</v>
      </c>
      <c r="I8" s="7">
        <v>43</v>
      </c>
      <c r="J8" s="7">
        <f t="shared" si="1"/>
        <v>1.501790189300652</v>
      </c>
      <c r="K8" s="7">
        <f t="shared" si="2"/>
        <v>58.02195674763755</v>
      </c>
      <c r="L8" s="7">
        <v>0.7</v>
      </c>
      <c r="M8" s="7">
        <f t="shared" si="3"/>
        <v>40.615369723346284</v>
      </c>
      <c r="N8" s="18" t="s">
        <v>104</v>
      </c>
    </row>
    <row r="9" spans="1:14" ht="18" customHeight="1">
      <c r="A9" s="28" t="s">
        <v>40</v>
      </c>
      <c r="B9" s="8">
        <v>4</v>
      </c>
      <c r="C9" s="8">
        <v>3</v>
      </c>
      <c r="D9" s="8">
        <v>0</v>
      </c>
      <c r="E9" s="8">
        <v>0</v>
      </c>
      <c r="F9" s="8">
        <v>0</v>
      </c>
      <c r="G9" s="7">
        <f>B9*B4+C9*C4+D9*D4+E9*E4+F9*F4</f>
        <v>25.5</v>
      </c>
      <c r="H9" s="7">
        <f t="shared" si="0"/>
        <v>2.2099504938362076</v>
      </c>
      <c r="I9" s="7">
        <v>43</v>
      </c>
      <c r="J9" s="7">
        <f t="shared" si="1"/>
        <v>1.5225654727025504</v>
      </c>
      <c r="K9" s="7">
        <f t="shared" si="2"/>
        <v>59.45348568835325</v>
      </c>
      <c r="L9" s="7">
        <v>2.5</v>
      </c>
      <c r="M9" s="7">
        <f t="shared" si="3"/>
        <v>148.63371422088312</v>
      </c>
      <c r="N9" s="17" t="s">
        <v>15</v>
      </c>
    </row>
    <row r="10" spans="1:14" ht="18" customHeight="1">
      <c r="A10" s="28" t="s">
        <v>41</v>
      </c>
      <c r="B10" s="8">
        <v>4</v>
      </c>
      <c r="C10" s="8">
        <v>3</v>
      </c>
      <c r="D10" s="8">
        <v>1</v>
      </c>
      <c r="E10" s="8">
        <v>0</v>
      </c>
      <c r="F10" s="8">
        <v>0</v>
      </c>
      <c r="G10" s="7">
        <f>B10*B4+C10*C4+D10*D4+E10*E4+F10*F4</f>
        <v>26.5</v>
      </c>
      <c r="H10" s="7">
        <f t="shared" si="0"/>
        <v>2.2295630140987</v>
      </c>
      <c r="I10" s="7">
        <v>43</v>
      </c>
      <c r="J10" s="7">
        <f t="shared" si="1"/>
        <v>1.5360776967399832</v>
      </c>
      <c r="K10" s="7">
        <f t="shared" si="2"/>
        <v>60.392711089850906</v>
      </c>
      <c r="L10" s="7">
        <v>1</v>
      </c>
      <c r="M10" s="7">
        <f t="shared" si="3"/>
        <v>60.392711089850906</v>
      </c>
      <c r="N10" s="18" t="s">
        <v>32</v>
      </c>
    </row>
    <row r="11" spans="1:14" ht="18" customHeight="1">
      <c r="A11" s="28" t="s">
        <v>42</v>
      </c>
      <c r="B11" s="8">
        <v>4</v>
      </c>
      <c r="C11" s="8">
        <v>3</v>
      </c>
      <c r="D11" s="8">
        <v>2</v>
      </c>
      <c r="E11" s="8">
        <v>0</v>
      </c>
      <c r="F11" s="8">
        <v>0</v>
      </c>
      <c r="G11" s="7">
        <f>B11*B4+C11*C4+D11*D4+E11*E4+F11*F4</f>
        <v>27.5</v>
      </c>
      <c r="H11" s="7">
        <f t="shared" si="0"/>
        <v>2.2488088481701514</v>
      </c>
      <c r="I11" s="7">
        <v>43</v>
      </c>
      <c r="J11" s="7">
        <f t="shared" si="1"/>
        <v>1.5493372889943273</v>
      </c>
      <c r="K11" s="7">
        <f t="shared" si="2"/>
        <v>61.32061410798193</v>
      </c>
      <c r="L11" s="9">
        <v>5</v>
      </c>
      <c r="M11" s="7">
        <f t="shared" si="3"/>
        <v>306.60307053990965</v>
      </c>
      <c r="N11" s="19" t="s">
        <v>105</v>
      </c>
    </row>
    <row r="12" spans="1:14" ht="18" customHeight="1">
      <c r="A12" s="28" t="s">
        <v>43</v>
      </c>
      <c r="B12" s="8">
        <v>8</v>
      </c>
      <c r="C12" s="8">
        <v>6</v>
      </c>
      <c r="D12" s="8">
        <v>4</v>
      </c>
      <c r="E12" s="8">
        <v>0</v>
      </c>
      <c r="F12" s="8">
        <v>0</v>
      </c>
      <c r="G12" s="7">
        <f>B12*B4+C12*C4+D12*D4+E12*E4+F12*F4</f>
        <v>55</v>
      </c>
      <c r="H12" s="7">
        <f t="shared" si="0"/>
        <v>2.6832396974191326</v>
      </c>
      <c r="I12" s="7">
        <v>43</v>
      </c>
      <c r="J12" s="7">
        <f t="shared" si="1"/>
        <v>1.848642369894646</v>
      </c>
      <c r="K12" s="7">
        <f t="shared" si="2"/>
        <v>83.88505388163406</v>
      </c>
      <c r="L12" s="9">
        <v>3.9</v>
      </c>
      <c r="M12" s="7">
        <f t="shared" si="3"/>
        <v>327.15171013837283</v>
      </c>
      <c r="N12" s="20" t="s">
        <v>33</v>
      </c>
    </row>
    <row r="13" spans="1:14" ht="18" customHeight="1">
      <c r="A13" s="28" t="s">
        <v>44</v>
      </c>
      <c r="B13" s="8">
        <v>12</v>
      </c>
      <c r="C13" s="8">
        <v>9</v>
      </c>
      <c r="D13" s="8">
        <v>6</v>
      </c>
      <c r="E13" s="8">
        <v>0</v>
      </c>
      <c r="F13" s="8">
        <v>0</v>
      </c>
      <c r="G13" s="7">
        <f>B13*B4+C13*C4+D13*D4+E13*E4+F13*F4</f>
        <v>82.5</v>
      </c>
      <c r="H13" s="7">
        <f t="shared" si="0"/>
        <v>3.016590212458495</v>
      </c>
      <c r="I13" s="7">
        <v>55</v>
      </c>
      <c r="J13" s="7">
        <f t="shared" si="1"/>
        <v>1.2703438279553592</v>
      </c>
      <c r="K13" s="7">
        <f t="shared" si="2"/>
        <v>31.885377410419185</v>
      </c>
      <c r="L13" s="9">
        <v>22</v>
      </c>
      <c r="M13" s="7">
        <f t="shared" si="3"/>
        <v>701.478303029222</v>
      </c>
      <c r="N13" s="17" t="s">
        <v>26</v>
      </c>
    </row>
    <row r="14" spans="1:14" ht="18" customHeight="1">
      <c r="A14" s="28" t="s">
        <v>45</v>
      </c>
      <c r="B14" s="8">
        <v>24</v>
      </c>
      <c r="C14" s="8">
        <v>9</v>
      </c>
      <c r="D14" s="8">
        <v>12</v>
      </c>
      <c r="E14" s="8">
        <v>0</v>
      </c>
      <c r="F14" s="8">
        <v>0</v>
      </c>
      <c r="G14" s="7">
        <f>B14*B4+C14*C4+D14*D4+E14*E4+F14*F4</f>
        <v>160.5</v>
      </c>
      <c r="H14" s="7">
        <f t="shared" si="0"/>
        <v>3.7337718918639853</v>
      </c>
      <c r="I14" s="7">
        <v>55</v>
      </c>
      <c r="J14" s="7">
        <f t="shared" si="1"/>
        <v>1.5723627485872445</v>
      </c>
      <c r="K14" s="7">
        <f t="shared" si="2"/>
        <v>46.550010110785415</v>
      </c>
      <c r="L14" s="9">
        <v>6</v>
      </c>
      <c r="M14" s="7">
        <f t="shared" si="3"/>
        <v>279.3000606647125</v>
      </c>
      <c r="N14" s="20" t="s">
        <v>34</v>
      </c>
    </row>
    <row r="15" spans="1:14" ht="18" customHeight="1">
      <c r="A15" s="28" t="s">
        <v>46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7">
        <f>B15*B4+C15*C4+D15*D4+E15*E4+F15*F4</f>
        <v>0</v>
      </c>
      <c r="H15" s="7">
        <v>0</v>
      </c>
      <c r="I15" s="7">
        <v>55</v>
      </c>
      <c r="J15" s="7">
        <f t="shared" si="1"/>
        <v>0</v>
      </c>
      <c r="K15" s="7">
        <f t="shared" si="2"/>
        <v>0</v>
      </c>
      <c r="L15" s="9">
        <v>4.2</v>
      </c>
      <c r="M15" s="7">
        <f t="shared" si="3"/>
        <v>0</v>
      </c>
      <c r="N15" s="53" t="s">
        <v>106</v>
      </c>
    </row>
    <row r="16" spans="1:14" ht="18" customHeight="1">
      <c r="A16" s="28" t="s">
        <v>47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7">
        <f>B16*B4+C16*C4+D16*D4+E16*E4+F16*F4</f>
        <v>0</v>
      </c>
      <c r="H16" s="7">
        <v>0</v>
      </c>
      <c r="I16" s="7">
        <v>55</v>
      </c>
      <c r="J16" s="7">
        <f t="shared" si="1"/>
        <v>0</v>
      </c>
      <c r="K16" s="7">
        <f t="shared" si="2"/>
        <v>0</v>
      </c>
      <c r="L16" s="9">
        <v>5</v>
      </c>
      <c r="M16" s="7">
        <f t="shared" si="3"/>
        <v>0</v>
      </c>
      <c r="N16" s="21"/>
    </row>
    <row r="17" spans="1:14" ht="18" customHeight="1">
      <c r="A17" s="28" t="s">
        <v>48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7">
        <f>B17*B4+C17*C4+D17*D4+E17*E4+F17*F4</f>
        <v>0</v>
      </c>
      <c r="H17" s="7">
        <v>0</v>
      </c>
      <c r="I17" s="7">
        <v>55</v>
      </c>
      <c r="J17" s="7">
        <f t="shared" si="1"/>
        <v>0</v>
      </c>
      <c r="K17" s="7">
        <f t="shared" si="2"/>
        <v>0</v>
      </c>
      <c r="L17" s="9">
        <v>13</v>
      </c>
      <c r="M17" s="7">
        <f t="shared" si="3"/>
        <v>0</v>
      </c>
      <c r="N17" s="22" t="s">
        <v>28</v>
      </c>
    </row>
    <row r="18" spans="1:14" ht="18" customHeight="1">
      <c r="A18" s="28" t="s">
        <v>49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7">
        <f>B18*B4+C18*C4+D18*D4+E18*E4+F18*F4</f>
        <v>0</v>
      </c>
      <c r="H18" s="7">
        <v>0</v>
      </c>
      <c r="I18" s="7">
        <v>67</v>
      </c>
      <c r="J18" s="7">
        <f t="shared" si="1"/>
        <v>0</v>
      </c>
      <c r="K18" s="7">
        <f t="shared" si="2"/>
        <v>0</v>
      </c>
      <c r="L18" s="9">
        <v>0</v>
      </c>
      <c r="M18" s="7">
        <f t="shared" si="3"/>
        <v>0</v>
      </c>
      <c r="N18" s="21" t="s">
        <v>29</v>
      </c>
    </row>
    <row r="19" spans="1:14" ht="18" customHeight="1">
      <c r="A19" s="28" t="s">
        <v>50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7">
        <f>B19*B4+C19*C4+D19*D4+E19*E4+F19*F4</f>
        <v>0</v>
      </c>
      <c r="H19" s="7">
        <v>0</v>
      </c>
      <c r="I19" s="7">
        <v>67</v>
      </c>
      <c r="J19" s="7">
        <f t="shared" si="1"/>
        <v>0</v>
      </c>
      <c r="K19" s="7">
        <f t="shared" si="2"/>
        <v>0</v>
      </c>
      <c r="L19" s="9">
        <v>0</v>
      </c>
      <c r="M19" s="7">
        <f t="shared" si="3"/>
        <v>0</v>
      </c>
      <c r="N19" s="20" t="s">
        <v>30</v>
      </c>
    </row>
    <row r="20" spans="1:14" ht="18" customHeight="1">
      <c r="A20" s="39" t="s">
        <v>51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13">
        <f>B20*B4+C20*C4+D20*D4+E20*E4+F20*F4</f>
        <v>0</v>
      </c>
      <c r="H20" s="13">
        <f>1.02*0.2*(G20^0.5)+0.004*G20</f>
        <v>0</v>
      </c>
      <c r="I20" s="13">
        <v>67</v>
      </c>
      <c r="J20" s="13">
        <f t="shared" si="1"/>
        <v>0</v>
      </c>
      <c r="K20" s="13">
        <f t="shared" si="2"/>
        <v>0</v>
      </c>
      <c r="L20" s="24">
        <v>0</v>
      </c>
      <c r="M20" s="13">
        <f t="shared" si="3"/>
        <v>0</v>
      </c>
      <c r="N20" s="20"/>
    </row>
    <row r="21" spans="1:14" ht="18" customHeight="1" thickBo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5">
        <f>SUM(M5:M20)</f>
        <v>2881.080838032656</v>
      </c>
      <c r="N21" s="23"/>
    </row>
    <row r="22" spans="1:14" ht="18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8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8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8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8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8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8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8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8" customHeight="1">
      <c r="A30" s="14"/>
      <c r="B30" s="120" t="s">
        <v>31</v>
      </c>
      <c r="C30" s="121"/>
      <c r="D30" s="121"/>
      <c r="E30" s="121"/>
      <c r="F30" s="122"/>
      <c r="G30" s="2" t="s">
        <v>2</v>
      </c>
      <c r="H30" s="2" t="s">
        <v>0</v>
      </c>
      <c r="I30" s="2" t="s">
        <v>6</v>
      </c>
      <c r="J30" s="2" t="s">
        <v>8</v>
      </c>
      <c r="K30" s="2" t="s">
        <v>10</v>
      </c>
      <c r="L30" s="2" t="s">
        <v>11</v>
      </c>
      <c r="M30" s="2" t="s">
        <v>13</v>
      </c>
      <c r="N30" s="46"/>
    </row>
    <row r="31" spans="1:14" ht="18" customHeight="1">
      <c r="A31" s="3" t="s">
        <v>4</v>
      </c>
      <c r="B31" s="24" t="s">
        <v>16</v>
      </c>
      <c r="C31" s="24" t="s">
        <v>95</v>
      </c>
      <c r="D31" s="24" t="s">
        <v>35</v>
      </c>
      <c r="E31" s="13" t="s">
        <v>61</v>
      </c>
      <c r="F31" s="13" t="s">
        <v>63</v>
      </c>
      <c r="G31" s="5" t="s">
        <v>3</v>
      </c>
      <c r="H31" s="5" t="s">
        <v>1</v>
      </c>
      <c r="I31" s="5" t="s">
        <v>7</v>
      </c>
      <c r="J31" s="5" t="s">
        <v>9</v>
      </c>
      <c r="K31" s="5" t="s">
        <v>14</v>
      </c>
      <c r="L31" s="5" t="s">
        <v>12</v>
      </c>
      <c r="M31" s="5" t="s">
        <v>14</v>
      </c>
      <c r="N31" s="47"/>
    </row>
    <row r="32" spans="1:14" ht="18" customHeight="1">
      <c r="A32" s="6" t="s">
        <v>5</v>
      </c>
      <c r="B32" s="4">
        <v>6</v>
      </c>
      <c r="C32" s="4">
        <v>0.5</v>
      </c>
      <c r="D32" s="4">
        <v>1</v>
      </c>
      <c r="E32" s="4">
        <v>1</v>
      </c>
      <c r="F32" s="25">
        <v>1</v>
      </c>
      <c r="G32" s="4" t="s">
        <v>18</v>
      </c>
      <c r="H32" s="4" t="s">
        <v>19</v>
      </c>
      <c r="I32" s="4" t="s">
        <v>20</v>
      </c>
      <c r="J32" s="4" t="s">
        <v>21</v>
      </c>
      <c r="K32" s="4" t="s">
        <v>22</v>
      </c>
      <c r="L32" s="4" t="s">
        <v>23</v>
      </c>
      <c r="M32" s="4" t="s">
        <v>24</v>
      </c>
      <c r="N32" s="47"/>
    </row>
    <row r="33" spans="1:14" ht="18" customHeight="1">
      <c r="A33" s="26" t="s">
        <v>96</v>
      </c>
      <c r="B33" s="8">
        <v>1</v>
      </c>
      <c r="C33" s="8">
        <v>0</v>
      </c>
      <c r="D33" s="8">
        <v>0</v>
      </c>
      <c r="E33" s="8">
        <v>0</v>
      </c>
      <c r="F33" s="8">
        <v>0</v>
      </c>
      <c r="G33" s="7">
        <f>B33*B32+C33*C32+D33*D32+E33*E32+F33*F32</f>
        <v>6</v>
      </c>
      <c r="H33" s="7">
        <f>0.2*(G33^0.5)+1.2</f>
        <v>1.6898979485566357</v>
      </c>
      <c r="I33" s="7">
        <v>27</v>
      </c>
      <c r="J33" s="7">
        <f>4000*H33/(3.14*I33^2)</f>
        <v>2.952998957749706</v>
      </c>
      <c r="K33" s="7">
        <f>0.000915*((H33/1000)^1.774/(I33/1000)^4.774)*1000</f>
        <v>340.6551612234403</v>
      </c>
      <c r="L33" s="7">
        <v>2.7</v>
      </c>
      <c r="M33" s="7">
        <f>L33*K33</f>
        <v>919.7689353032889</v>
      </c>
      <c r="N33" s="47"/>
    </row>
    <row r="34" spans="1:14" ht="18" customHeight="1">
      <c r="A34" s="27" t="s">
        <v>97</v>
      </c>
      <c r="B34" s="8">
        <v>2</v>
      </c>
      <c r="C34" s="8">
        <v>0</v>
      </c>
      <c r="D34" s="8">
        <v>0</v>
      </c>
      <c r="E34" s="8">
        <v>0</v>
      </c>
      <c r="F34" s="8">
        <v>0</v>
      </c>
      <c r="G34" s="7">
        <f>B34*B32+C34*C32+D34*D32+E34*E32+F34*F32</f>
        <v>12</v>
      </c>
      <c r="H34" s="7">
        <f aca="true" t="shared" si="4" ref="H34:H40">0.2*(G34^0.5)+1.2</f>
        <v>1.8928203230275509</v>
      </c>
      <c r="I34" s="7">
        <v>43</v>
      </c>
      <c r="J34" s="7">
        <f aca="true" t="shared" si="5" ref="J34:J40">4000*H34/(3.14*I34^2)</f>
        <v>1.3040757600269732</v>
      </c>
      <c r="K34" s="7">
        <f aca="true" t="shared" si="6" ref="K34:K40">0.000915*((H34/1000)^1.774/(I34/1000)^4.774)*1000</f>
        <v>45.168404022360015</v>
      </c>
      <c r="L34" s="7">
        <v>1</v>
      </c>
      <c r="M34" s="7">
        <f aca="true" t="shared" si="7" ref="M34:M40">L34*K34</f>
        <v>45.168404022360015</v>
      </c>
      <c r="N34" s="47"/>
    </row>
    <row r="35" spans="1:14" ht="18" customHeight="1">
      <c r="A35" s="27" t="s">
        <v>98</v>
      </c>
      <c r="B35" s="8">
        <v>3</v>
      </c>
      <c r="C35" s="8">
        <v>0</v>
      </c>
      <c r="D35" s="8">
        <v>0</v>
      </c>
      <c r="E35" s="8">
        <v>0</v>
      </c>
      <c r="F35" s="8">
        <v>0</v>
      </c>
      <c r="G35" s="7">
        <f>B35*B32+C35*C32+D35*D32+E35*E32+F35*F32</f>
        <v>18</v>
      </c>
      <c r="H35" s="7">
        <f t="shared" si="4"/>
        <v>2.048528137423857</v>
      </c>
      <c r="I35" s="7">
        <v>43</v>
      </c>
      <c r="J35" s="7">
        <f t="shared" si="5"/>
        <v>1.41135207354215</v>
      </c>
      <c r="K35" s="7">
        <f t="shared" si="6"/>
        <v>51.96855930070998</v>
      </c>
      <c r="L35" s="7">
        <v>1</v>
      </c>
      <c r="M35" s="7">
        <f t="shared" si="7"/>
        <v>51.96855930070998</v>
      </c>
      <c r="N35" s="47"/>
    </row>
    <row r="36" spans="1:14" ht="18" customHeight="1">
      <c r="A36" s="28" t="s">
        <v>99</v>
      </c>
      <c r="B36" s="8">
        <v>4</v>
      </c>
      <c r="C36" s="8">
        <v>0</v>
      </c>
      <c r="D36" s="8">
        <v>0</v>
      </c>
      <c r="E36" s="8">
        <v>0</v>
      </c>
      <c r="F36" s="8">
        <v>0</v>
      </c>
      <c r="G36" s="7">
        <f>B36*B32+C36*C32+D36*D32+E36*E32+F36*F32</f>
        <v>24</v>
      </c>
      <c r="H36" s="7">
        <f t="shared" si="4"/>
        <v>2.179795897113271</v>
      </c>
      <c r="I36" s="7">
        <v>43</v>
      </c>
      <c r="J36" s="7">
        <f t="shared" si="5"/>
        <v>1.501790189300652</v>
      </c>
      <c r="K36" s="7">
        <f t="shared" si="6"/>
        <v>58.02195674763755</v>
      </c>
      <c r="L36" s="7">
        <v>3.2</v>
      </c>
      <c r="M36" s="7">
        <f t="shared" si="7"/>
        <v>185.67026159244017</v>
      </c>
      <c r="N36" s="47"/>
    </row>
    <row r="37" spans="1:14" ht="18" customHeight="1">
      <c r="A37" s="28" t="s">
        <v>100</v>
      </c>
      <c r="B37" s="8">
        <v>4</v>
      </c>
      <c r="C37" s="8">
        <v>0</v>
      </c>
      <c r="D37" s="8">
        <v>1</v>
      </c>
      <c r="E37" s="8">
        <v>0</v>
      </c>
      <c r="F37" s="8">
        <v>0</v>
      </c>
      <c r="G37" s="7">
        <f>B37*B32+C37*C32+D37*D32+E37*E32+F37*F32</f>
        <v>25</v>
      </c>
      <c r="H37" s="7">
        <f t="shared" si="4"/>
        <v>2.2</v>
      </c>
      <c r="I37" s="7">
        <v>55</v>
      </c>
      <c r="J37" s="7">
        <f t="shared" si="5"/>
        <v>0.9264620729588883</v>
      </c>
      <c r="K37" s="7">
        <f t="shared" si="6"/>
        <v>18.21325005545702</v>
      </c>
      <c r="L37" s="7">
        <v>1</v>
      </c>
      <c r="M37" s="7">
        <f t="shared" si="7"/>
        <v>18.21325005545702</v>
      </c>
      <c r="N37" s="47"/>
    </row>
    <row r="38" spans="1:14" ht="18" customHeight="1">
      <c r="A38" s="28" t="s">
        <v>101</v>
      </c>
      <c r="B38" s="8">
        <v>4</v>
      </c>
      <c r="C38" s="8">
        <v>0</v>
      </c>
      <c r="D38" s="8">
        <v>2</v>
      </c>
      <c r="E38" s="8">
        <v>0</v>
      </c>
      <c r="F38" s="8">
        <v>0</v>
      </c>
      <c r="G38" s="7">
        <f>B38*B32+C38*C32+D38*D32+E38*E32+F38*F32</f>
        <v>26</v>
      </c>
      <c r="H38" s="7">
        <f t="shared" si="4"/>
        <v>2.219803902718557</v>
      </c>
      <c r="I38" s="7">
        <v>55</v>
      </c>
      <c r="J38" s="7">
        <f t="shared" si="5"/>
        <v>0.9348018751249384</v>
      </c>
      <c r="K38" s="7">
        <f t="shared" si="6"/>
        <v>18.50511266837216</v>
      </c>
      <c r="L38" s="7">
        <v>5</v>
      </c>
      <c r="M38" s="7">
        <f t="shared" si="7"/>
        <v>92.5255633418608</v>
      </c>
      <c r="N38" s="47"/>
    </row>
    <row r="39" spans="1:14" ht="18" customHeight="1">
      <c r="A39" s="28" t="s">
        <v>102</v>
      </c>
      <c r="B39" s="8">
        <v>8</v>
      </c>
      <c r="C39" s="8">
        <v>0</v>
      </c>
      <c r="D39" s="8">
        <v>4</v>
      </c>
      <c r="E39" s="8">
        <v>0</v>
      </c>
      <c r="F39" s="8">
        <v>0</v>
      </c>
      <c r="G39" s="7">
        <f>B39*B32+C39*C32+D39*D32+E39*E32+F39*F32</f>
        <v>52</v>
      </c>
      <c r="H39" s="7">
        <f t="shared" si="4"/>
        <v>2.642220510185596</v>
      </c>
      <c r="I39" s="7">
        <v>55</v>
      </c>
      <c r="J39" s="7">
        <f t="shared" si="5"/>
        <v>1.1126895868550175</v>
      </c>
      <c r="K39" s="7">
        <f t="shared" si="6"/>
        <v>25.205930002042177</v>
      </c>
      <c r="L39" s="9">
        <v>3.9</v>
      </c>
      <c r="M39" s="7">
        <f t="shared" si="7"/>
        <v>98.30312700796449</v>
      </c>
      <c r="N39" s="47"/>
    </row>
    <row r="40" spans="1:14" ht="18" customHeight="1">
      <c r="A40" s="28" t="s">
        <v>103</v>
      </c>
      <c r="B40" s="8">
        <v>12</v>
      </c>
      <c r="C40" s="8">
        <v>0</v>
      </c>
      <c r="D40" s="8">
        <v>6</v>
      </c>
      <c r="E40" s="8">
        <v>0</v>
      </c>
      <c r="F40" s="8">
        <v>0</v>
      </c>
      <c r="G40" s="7">
        <f>B40*B32+C40*C32+D40*D32+E40*E32+F40*F32</f>
        <v>78</v>
      </c>
      <c r="H40" s="7">
        <f t="shared" si="4"/>
        <v>2.9663521732655695</v>
      </c>
      <c r="I40" s="7">
        <v>55</v>
      </c>
      <c r="J40" s="7">
        <f t="shared" si="5"/>
        <v>1.2491876288953285</v>
      </c>
      <c r="K40" s="7">
        <f t="shared" si="6"/>
        <v>30.949433393948446</v>
      </c>
      <c r="L40" s="9">
        <v>41</v>
      </c>
      <c r="M40" s="7">
        <f t="shared" si="7"/>
        <v>1268.9267691518862</v>
      </c>
      <c r="N40" s="47"/>
    </row>
    <row r="41" spans="1:14" ht="18" customHeight="1" thickBot="1">
      <c r="A41" s="48"/>
      <c r="B41" s="49"/>
      <c r="C41" s="49"/>
      <c r="D41" s="49"/>
      <c r="E41" s="49"/>
      <c r="F41" s="49"/>
      <c r="G41" s="50"/>
      <c r="H41" s="50"/>
      <c r="I41" s="50"/>
      <c r="J41" s="50"/>
      <c r="K41" s="50"/>
      <c r="L41" s="11"/>
      <c r="M41" s="51">
        <f>SUM(M33:M40)</f>
        <v>2680.5448697759675</v>
      </c>
      <c r="N41" s="52"/>
    </row>
    <row r="42" spans="1:13" ht="18" customHeight="1">
      <c r="A42" s="41"/>
      <c r="B42" s="42"/>
      <c r="C42" s="42"/>
      <c r="D42" s="42"/>
      <c r="E42" s="42"/>
      <c r="F42" s="42"/>
      <c r="G42" s="43"/>
      <c r="H42" s="43"/>
      <c r="I42" s="43"/>
      <c r="J42" s="43"/>
      <c r="K42" s="43"/>
      <c r="L42" s="44"/>
      <c r="M42" s="43"/>
    </row>
    <row r="43" ht="18" customHeight="1">
      <c r="E43" t="s">
        <v>60</v>
      </c>
    </row>
    <row r="44" ht="18" customHeight="1" thickBot="1"/>
    <row r="45" spans="3:7" ht="18" customHeight="1">
      <c r="C45" s="54" t="s">
        <v>107</v>
      </c>
      <c r="D45" s="55" t="s">
        <v>52</v>
      </c>
      <c r="E45" s="55" t="s">
        <v>53</v>
      </c>
      <c r="F45" s="55" t="s">
        <v>58</v>
      </c>
      <c r="G45" s="56" t="s">
        <v>54</v>
      </c>
    </row>
    <row r="46" spans="3:7" ht="18" customHeight="1">
      <c r="C46" s="57" t="s">
        <v>55</v>
      </c>
      <c r="D46" s="31" t="s">
        <v>56</v>
      </c>
      <c r="E46" s="30"/>
      <c r="F46" s="29" t="s">
        <v>57</v>
      </c>
      <c r="G46" s="58" t="s">
        <v>59</v>
      </c>
    </row>
    <row r="47" spans="3:7" ht="18" customHeight="1" thickBot="1">
      <c r="C47" s="59">
        <v>50</v>
      </c>
      <c r="D47" s="60">
        <v>120</v>
      </c>
      <c r="E47" s="60">
        <v>2.5</v>
      </c>
      <c r="F47" s="60">
        <v>10</v>
      </c>
      <c r="G47" s="61">
        <f>C47*D47*E47/F47/1000</f>
        <v>1.5</v>
      </c>
    </row>
  </sheetData>
  <sheetProtection/>
  <mergeCells count="2">
    <mergeCell ref="B2:F2"/>
    <mergeCell ref="B30:F30"/>
  </mergeCells>
  <printOptions/>
  <pageMargins left="1.34" right="0.5511811023622047" top="0.89" bottom="0.6" header="0.5118110236220472" footer="0.31496062992125984"/>
  <pageSetup horizontalDpi="600" verticalDpi="600" orientation="landscape" paperSize="9" scale="95" r:id="rId1"/>
  <headerFooter alignWithMargins="0">
    <oddHeader>&amp;C&amp;"黑体,常规"&amp;16给水系统配管水力计算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14" sqref="I14"/>
    </sheetView>
  </sheetViews>
  <sheetFormatPr defaultColWidth="10.625" defaultRowHeight="14.25"/>
  <cols>
    <col min="1" max="4" width="10.625" style="33" customWidth="1"/>
    <col min="5" max="5" width="10.625" style="34" customWidth="1"/>
    <col min="6" max="6" width="10.625" style="33" customWidth="1"/>
    <col min="7" max="7" width="10.50390625" style="33" customWidth="1"/>
    <col min="8" max="8" width="10.625" style="34" customWidth="1"/>
    <col min="9" max="16384" width="10.625" style="33" customWidth="1"/>
  </cols>
  <sheetData>
    <row r="1" spans="1:8" ht="15.75">
      <c r="A1" s="123" t="s">
        <v>64</v>
      </c>
      <c r="B1" s="123"/>
      <c r="C1" s="123"/>
      <c r="D1" s="123"/>
      <c r="E1" s="123"/>
      <c r="F1" s="123"/>
      <c r="G1" s="123"/>
      <c r="H1" s="123"/>
    </row>
    <row r="2" spans="1:8" ht="18.75">
      <c r="A2" s="32" t="s">
        <v>71</v>
      </c>
      <c r="B2" s="32" t="s">
        <v>72</v>
      </c>
      <c r="C2" s="32" t="s">
        <v>68</v>
      </c>
      <c r="D2" s="32" t="s">
        <v>69</v>
      </c>
      <c r="E2" s="35" t="s">
        <v>70</v>
      </c>
      <c r="F2" s="32" t="s">
        <v>65</v>
      </c>
      <c r="G2" s="32" t="s">
        <v>66</v>
      </c>
      <c r="H2" s="35" t="s">
        <v>67</v>
      </c>
    </row>
    <row r="3" spans="1:8" ht="15.75">
      <c r="A3" s="33">
        <v>4.5</v>
      </c>
      <c r="B3" s="33">
        <v>1</v>
      </c>
      <c r="C3" s="34">
        <f>(A3-B3)/SIN(45)</f>
        <v>4.113274770975122</v>
      </c>
      <c r="D3" s="33">
        <f>25*0.8</f>
        <v>20</v>
      </c>
      <c r="E3" s="35">
        <f>0.71*C3</f>
        <v>2.9204250873923363</v>
      </c>
      <c r="F3" s="34">
        <f>D3+E3</f>
        <v>22.920425087392335</v>
      </c>
      <c r="G3" s="34">
        <v>15</v>
      </c>
      <c r="H3" s="34">
        <f>(F3^2-G3^2)^(1/2)</f>
        <v>17.33049007347351</v>
      </c>
    </row>
    <row r="4" spans="5:7" ht="15.75">
      <c r="E4" s="35"/>
      <c r="F4" s="34"/>
      <c r="G4" s="34"/>
    </row>
    <row r="5" spans="1:7" ht="18.75">
      <c r="A5" s="123" t="s">
        <v>92</v>
      </c>
      <c r="B5" s="123"/>
      <c r="C5" s="123"/>
      <c r="D5" s="123"/>
      <c r="E5" s="123"/>
      <c r="F5" s="123"/>
      <c r="G5" s="123"/>
    </row>
    <row r="6" spans="1:5" ht="18.75">
      <c r="A6" s="32" t="s">
        <v>77</v>
      </c>
      <c r="B6" s="32" t="s">
        <v>76</v>
      </c>
      <c r="C6" s="32" t="s">
        <v>73</v>
      </c>
      <c r="D6" s="32" t="s">
        <v>74</v>
      </c>
      <c r="E6" s="32" t="s">
        <v>75</v>
      </c>
    </row>
    <row r="7" spans="1:5" ht="14.25">
      <c r="A7" s="34">
        <v>7</v>
      </c>
      <c r="B7" s="33">
        <v>3.8</v>
      </c>
      <c r="C7" s="34">
        <f>0.0043*25*B7^2</f>
        <v>1.5523</v>
      </c>
      <c r="D7" s="34">
        <f>B7^2/1.577</f>
        <v>9.156626506024097</v>
      </c>
      <c r="E7" s="34">
        <f>C7+D7</f>
        <v>10.708926506024097</v>
      </c>
    </row>
    <row r="8" spans="1:4" ht="14.25">
      <c r="A8" s="34"/>
      <c r="C8" s="34"/>
      <c r="D8" s="34"/>
    </row>
    <row r="9" spans="1:4" ht="15.75">
      <c r="A9" s="123" t="s">
        <v>84</v>
      </c>
      <c r="B9" s="123"/>
      <c r="C9" s="123"/>
      <c r="D9" s="34"/>
    </row>
    <row r="10" spans="1:4" ht="15.75">
      <c r="A10" s="35"/>
      <c r="C10" s="34"/>
      <c r="D10" s="34"/>
    </row>
    <row r="11" spans="1:3" ht="15.75">
      <c r="A11" s="123" t="s">
        <v>83</v>
      </c>
      <c r="B11" s="123"/>
      <c r="C11" s="123"/>
    </row>
    <row r="12" spans="1:8" ht="15.75">
      <c r="A12" s="33" t="s">
        <v>86</v>
      </c>
      <c r="B12" s="32" t="s">
        <v>78</v>
      </c>
      <c r="C12" s="32" t="s">
        <v>79</v>
      </c>
      <c r="D12" s="33" t="s">
        <v>80</v>
      </c>
      <c r="E12" s="32" t="s">
        <v>81</v>
      </c>
      <c r="F12" s="35" t="s">
        <v>82</v>
      </c>
      <c r="G12" s="33" t="s">
        <v>93</v>
      </c>
      <c r="H12" s="33" t="s">
        <v>94</v>
      </c>
    </row>
    <row r="13" spans="1:8" ht="15.75">
      <c r="A13" s="32" t="s">
        <v>87</v>
      </c>
      <c r="B13" s="33">
        <v>3.8</v>
      </c>
      <c r="C13" s="33">
        <v>105</v>
      </c>
      <c r="D13" s="38">
        <f>4*B13/(1000*3.1415*(C13/1000)^2)</f>
        <v>0.4388619472405653</v>
      </c>
      <c r="E13" s="34">
        <f>0.000912*D13^2*(1+0.867/D13)^0.3/((C13/1000)^1.3)*1000</f>
        <v>4.562211378484798</v>
      </c>
      <c r="F13" s="34">
        <v>4</v>
      </c>
      <c r="G13" s="37">
        <f>F13*E13/1000</f>
        <v>0.01824884551393919</v>
      </c>
      <c r="H13" s="37">
        <f>1.1*G13</f>
        <v>0.02007373006533311</v>
      </c>
    </row>
    <row r="14" spans="1:8" ht="15.75">
      <c r="A14" s="32" t="s">
        <v>88</v>
      </c>
      <c r="B14" s="33">
        <v>7.6</v>
      </c>
      <c r="C14" s="33">
        <v>105</v>
      </c>
      <c r="D14" s="38">
        <f>4*B14/(1000*3.1415*(C14/1000)^2)</f>
        <v>0.8777238944811306</v>
      </c>
      <c r="E14" s="34">
        <f>0.000912*D14^2*(1+0.867/D14)^0.3/((C14/1000)^1.3)*1000</f>
        <v>16.16870467463237</v>
      </c>
      <c r="F14" s="34">
        <v>18</v>
      </c>
      <c r="G14" s="37">
        <f>F14*E14/1000</f>
        <v>0.2910366841433827</v>
      </c>
      <c r="H14" s="37">
        <f>1.1*G14</f>
        <v>0.320140352557721</v>
      </c>
    </row>
    <row r="15" spans="1:8" ht="15.75">
      <c r="A15" s="32" t="s">
        <v>89</v>
      </c>
      <c r="B15" s="33">
        <v>7.6</v>
      </c>
      <c r="C15" s="33">
        <v>105</v>
      </c>
      <c r="D15" s="38">
        <f>4*B15/(1000*3.1415*(C15/1000)^2)</f>
        <v>0.8777238944811306</v>
      </c>
      <c r="E15" s="34">
        <f>0.000912*D15^2*(1+0.867/D15)^0.3/((C15/1000)^1.3)*1000</f>
        <v>16.16870467463237</v>
      </c>
      <c r="F15" s="34">
        <v>19</v>
      </c>
      <c r="G15" s="37">
        <f>F15*E15/1000</f>
        <v>0.307205388818015</v>
      </c>
      <c r="H15" s="37">
        <f>1.1*G15</f>
        <v>0.33792592769981655</v>
      </c>
    </row>
    <row r="16" spans="1:8" ht="15.75">
      <c r="A16" s="32" t="s">
        <v>90</v>
      </c>
      <c r="B16" s="33">
        <v>7.6</v>
      </c>
      <c r="C16" s="33">
        <v>105</v>
      </c>
      <c r="D16" s="38">
        <f>4*B16/(1000*3.1415*(C16/1000)^2)</f>
        <v>0.8777238944811306</v>
      </c>
      <c r="E16" s="34">
        <f>0.000912*D16^2*(1+0.867/D16)^0.3/((C16/1000)^1.3)*1000</f>
        <v>16.16870467463237</v>
      </c>
      <c r="F16" s="34">
        <v>18</v>
      </c>
      <c r="G16" s="37">
        <f>F16*E16/1000</f>
        <v>0.2910366841433827</v>
      </c>
      <c r="H16" s="37">
        <f>1.1*G16</f>
        <v>0.320140352557721</v>
      </c>
    </row>
    <row r="17" spans="1:8" ht="15.75">
      <c r="A17" s="32" t="s">
        <v>91</v>
      </c>
      <c r="B17" s="33">
        <v>7.6</v>
      </c>
      <c r="C17" s="33">
        <v>105</v>
      </c>
      <c r="D17" s="38">
        <f>4*B17/(1000*3.1415*(C17/1000)^2)</f>
        <v>0.8777238944811306</v>
      </c>
      <c r="E17" s="34">
        <f>0.000912*D17^2*(1+0.867/D17)^0.3/((C17/1000)^1.3)*1000</f>
        <v>16.16870467463237</v>
      </c>
      <c r="F17" s="34">
        <v>12</v>
      </c>
      <c r="G17" s="37">
        <f>F17*E17/1000</f>
        <v>0.19402445609558844</v>
      </c>
      <c r="H17" s="37">
        <f>1.1*G17</f>
        <v>0.2134269017051473</v>
      </c>
    </row>
    <row r="18" spans="7:8" ht="14.25">
      <c r="G18" s="37"/>
      <c r="H18" s="37">
        <f>SUM(H13:H17)</f>
        <v>1.211707264585739</v>
      </c>
    </row>
    <row r="19" spans="1:7" ht="14.25" customHeight="1">
      <c r="A19" s="123" t="s">
        <v>85</v>
      </c>
      <c r="B19" s="123"/>
      <c r="C19" s="123"/>
      <c r="D19" s="34">
        <f>H18+20+E7</f>
        <v>31.92063377060984</v>
      </c>
      <c r="G19" s="36"/>
    </row>
  </sheetData>
  <sheetProtection/>
  <mergeCells count="5">
    <mergeCell ref="A19:C19"/>
    <mergeCell ref="A5:G5"/>
    <mergeCell ref="A1:H1"/>
    <mergeCell ref="A11:C11"/>
    <mergeCell ref="A9:C9"/>
  </mergeCells>
  <printOptions/>
  <pageMargins left="0.75" right="0.75" top="1.71" bottom="1" header="1.31" footer="0.5"/>
  <pageSetup horizontalDpi="600" verticalDpi="600" orientation="portrait" paperSize="9" scale="95" r:id="rId1"/>
  <headerFooter alignWithMargins="0">
    <oddHeader>&amp;C&amp;"黑体,常规"&amp;16消防计算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xbany</cp:lastModifiedBy>
  <cp:lastPrinted>2008-09-23T20:15:55Z</cp:lastPrinted>
  <dcterms:created xsi:type="dcterms:W3CDTF">2000-03-15T07:36:42Z</dcterms:created>
  <dcterms:modified xsi:type="dcterms:W3CDTF">2021-02-15T18:49:58Z</dcterms:modified>
  <cp:category/>
  <cp:version/>
  <cp:contentType/>
  <cp:contentStatus/>
</cp:coreProperties>
</file>